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p\Documents\REQETDOS\2010 a 2013\"/>
    </mc:Choice>
  </mc:AlternateContent>
  <bookViews>
    <workbookView xWindow="0" yWindow="0" windowWidth="20490" windowHeight="7755"/>
  </bookViews>
  <sheets>
    <sheet name="im pays pro 2012" sheetId="1" r:id="rId1"/>
  </sheets>
  <calcPr calcId="0"/>
</workbook>
</file>

<file path=xl/calcChain.xml><?xml version="1.0" encoding="utf-8"?>
<calcChain xmlns="http://schemas.openxmlformats.org/spreadsheetml/2006/main">
  <c r="B3" i="1" l="1"/>
  <c r="B4" i="1"/>
  <c r="B5" i="1"/>
  <c r="B6" i="1"/>
  <c r="B7" i="1"/>
  <c r="B8" i="1"/>
  <c r="B9" i="1"/>
  <c r="C14" i="1"/>
  <c r="D14" i="1"/>
  <c r="C15" i="1"/>
  <c r="D15" i="1"/>
  <c r="A11055" i="1"/>
  <c r="B11055" i="1"/>
  <c r="A16" i="1"/>
  <c r="B16" i="1"/>
  <c r="A17" i="1"/>
  <c r="B17" i="1"/>
  <c r="A18" i="1"/>
  <c r="B18" i="1"/>
  <c r="A19" i="1"/>
  <c r="B19" i="1"/>
  <c r="A20" i="1"/>
  <c r="B20" i="1"/>
  <c r="A21" i="1"/>
  <c r="B21" i="1"/>
  <c r="A22" i="1"/>
  <c r="B22" i="1"/>
  <c r="A23" i="1"/>
  <c r="A24" i="1"/>
  <c r="B24" i="1"/>
  <c r="A25" i="1"/>
  <c r="B25" i="1"/>
  <c r="A26" i="1"/>
  <c r="A27" i="1"/>
  <c r="B27" i="1"/>
  <c r="A28" i="1"/>
  <c r="B28" i="1"/>
  <c r="A29" i="1"/>
  <c r="B29" i="1"/>
  <c r="A30" i="1"/>
  <c r="B30" i="1"/>
  <c r="A31" i="1"/>
  <c r="A32" i="1"/>
  <c r="B32" i="1"/>
  <c r="A33" i="1"/>
  <c r="A34" i="1"/>
  <c r="B34" i="1"/>
  <c r="A35" i="1"/>
  <c r="B35" i="1"/>
  <c r="A36" i="1"/>
  <c r="A37" i="1"/>
  <c r="B37" i="1"/>
  <c r="A38" i="1"/>
  <c r="B38" i="1"/>
  <c r="A39" i="1"/>
  <c r="B39" i="1"/>
  <c r="A40" i="1"/>
  <c r="B40" i="1"/>
  <c r="A41" i="1"/>
  <c r="A42" i="1"/>
  <c r="B42" i="1"/>
  <c r="A43" i="1"/>
  <c r="B43" i="1"/>
  <c r="A44" i="1"/>
  <c r="B44" i="1"/>
  <c r="A45" i="1"/>
  <c r="B45" i="1"/>
  <c r="A46" i="1"/>
  <c r="B46" i="1"/>
  <c r="A47" i="1"/>
  <c r="A48" i="1"/>
  <c r="B48" i="1"/>
  <c r="A49" i="1"/>
  <c r="B49" i="1"/>
  <c r="A50" i="1"/>
  <c r="B50" i="1"/>
  <c r="A51" i="1"/>
  <c r="B51" i="1"/>
  <c r="A52" i="1"/>
  <c r="B52" i="1"/>
  <c r="A53" i="1"/>
  <c r="B53" i="1"/>
  <c r="A54" i="1"/>
  <c r="B54" i="1"/>
  <c r="A55" i="1"/>
  <c r="B55" i="1"/>
  <c r="A56" i="1"/>
  <c r="B56" i="1"/>
  <c r="A57" i="1"/>
  <c r="B57" i="1"/>
  <c r="A58" i="1"/>
  <c r="B58" i="1"/>
  <c r="A59" i="1"/>
  <c r="B59" i="1"/>
  <c r="A60" i="1"/>
  <c r="B60" i="1"/>
  <c r="A61" i="1"/>
  <c r="B61" i="1"/>
  <c r="A62" i="1"/>
  <c r="B62" i="1"/>
  <c r="A63" i="1"/>
  <c r="B63" i="1"/>
  <c r="A64" i="1"/>
  <c r="B64" i="1"/>
  <c r="A65" i="1"/>
  <c r="B65" i="1"/>
  <c r="A66" i="1"/>
  <c r="B66" i="1"/>
  <c r="A67" i="1"/>
  <c r="A68" i="1"/>
  <c r="B68" i="1"/>
  <c r="A69" i="1"/>
  <c r="A70" i="1"/>
  <c r="B70" i="1"/>
  <c r="A71" i="1"/>
  <c r="B71" i="1"/>
  <c r="A72" i="1"/>
  <c r="A73" i="1"/>
  <c r="B73" i="1"/>
  <c r="A74" i="1"/>
  <c r="B74" i="1"/>
  <c r="A75" i="1"/>
  <c r="B75" i="1"/>
  <c r="A76" i="1"/>
  <c r="B76" i="1"/>
  <c r="A77" i="1"/>
  <c r="A78" i="1"/>
  <c r="A79" i="1"/>
  <c r="B79" i="1"/>
  <c r="A80" i="1"/>
  <c r="A81" i="1"/>
  <c r="A82" i="1"/>
  <c r="B82" i="1"/>
  <c r="A83" i="1"/>
  <c r="B83" i="1"/>
  <c r="A84" i="1"/>
  <c r="B84" i="1"/>
  <c r="A85" i="1"/>
  <c r="B85" i="1"/>
  <c r="A86" i="1"/>
  <c r="B86" i="1"/>
  <c r="A87" i="1"/>
  <c r="B87" i="1"/>
  <c r="A88" i="1"/>
  <c r="B88" i="1"/>
  <c r="A89" i="1"/>
  <c r="B89" i="1"/>
  <c r="A90" i="1"/>
  <c r="B90" i="1"/>
  <c r="A91" i="1"/>
  <c r="A92" i="1"/>
  <c r="A93" i="1"/>
  <c r="B93" i="1"/>
  <c r="A94" i="1"/>
  <c r="B94" i="1"/>
  <c r="A95" i="1"/>
  <c r="B95" i="1"/>
  <c r="A96" i="1"/>
  <c r="B96" i="1"/>
  <c r="A97" i="1"/>
  <c r="B97" i="1"/>
  <c r="A98" i="1"/>
  <c r="B98" i="1"/>
  <c r="A99" i="1"/>
  <c r="B99" i="1"/>
  <c r="A100" i="1"/>
  <c r="B100" i="1"/>
  <c r="A101" i="1"/>
  <c r="A102" i="1"/>
  <c r="B102" i="1"/>
  <c r="A103" i="1"/>
  <c r="A104" i="1"/>
  <c r="B104" i="1"/>
  <c r="A105" i="1"/>
  <c r="A106" i="1"/>
  <c r="A107" i="1"/>
  <c r="B107" i="1"/>
  <c r="A108" i="1"/>
  <c r="B108" i="1"/>
  <c r="A109" i="1"/>
  <c r="B109" i="1"/>
  <c r="A110" i="1"/>
  <c r="B110" i="1"/>
  <c r="A111" i="1"/>
  <c r="B111" i="1"/>
  <c r="A112" i="1"/>
  <c r="B112" i="1"/>
  <c r="A113" i="1"/>
  <c r="B113" i="1"/>
  <c r="A114" i="1"/>
  <c r="B114" i="1"/>
  <c r="A115" i="1"/>
  <c r="B115" i="1"/>
  <c r="A116" i="1"/>
  <c r="B116" i="1"/>
  <c r="A117" i="1"/>
  <c r="B117" i="1"/>
  <c r="A118" i="1"/>
  <c r="A119" i="1"/>
  <c r="A120" i="1"/>
  <c r="B120" i="1"/>
  <c r="A121" i="1"/>
  <c r="B121" i="1"/>
  <c r="A122" i="1"/>
  <c r="B122" i="1"/>
  <c r="A123" i="1"/>
  <c r="B123" i="1"/>
  <c r="A124" i="1"/>
  <c r="B124" i="1"/>
  <c r="A125" i="1"/>
  <c r="B125" i="1"/>
  <c r="A126" i="1"/>
  <c r="B126" i="1"/>
  <c r="A127" i="1"/>
  <c r="B127" i="1"/>
  <c r="A128" i="1"/>
  <c r="B128" i="1"/>
  <c r="A129" i="1"/>
  <c r="B129" i="1"/>
  <c r="A130" i="1"/>
  <c r="B130" i="1"/>
  <c r="A131" i="1"/>
  <c r="B131" i="1"/>
  <c r="A132" i="1"/>
  <c r="A133" i="1"/>
  <c r="B133" i="1"/>
  <c r="A134" i="1"/>
  <c r="A135" i="1"/>
  <c r="B135" i="1"/>
  <c r="A136" i="1"/>
  <c r="A137" i="1"/>
  <c r="A138" i="1"/>
  <c r="B138" i="1"/>
  <c r="A139" i="1"/>
  <c r="B139" i="1"/>
  <c r="A140" i="1"/>
  <c r="B140" i="1"/>
  <c r="A141" i="1"/>
  <c r="B141" i="1"/>
  <c r="A142" i="1"/>
  <c r="B142" i="1"/>
  <c r="A143" i="1"/>
  <c r="A144" i="1"/>
  <c r="A145" i="1"/>
  <c r="B145" i="1"/>
  <c r="A146" i="1"/>
  <c r="B146" i="1"/>
  <c r="A147" i="1"/>
  <c r="B147" i="1"/>
  <c r="A148" i="1"/>
  <c r="A149" i="1"/>
  <c r="A150" i="1"/>
  <c r="A151" i="1"/>
  <c r="A152" i="1"/>
  <c r="B152" i="1"/>
  <c r="A153" i="1"/>
  <c r="B153" i="1"/>
  <c r="A154" i="1"/>
  <c r="A155" i="1"/>
  <c r="A156" i="1"/>
  <c r="B156" i="1"/>
  <c r="A157" i="1"/>
  <c r="B157" i="1"/>
  <c r="A158" i="1"/>
  <c r="A159" i="1"/>
  <c r="A160" i="1"/>
  <c r="B160" i="1"/>
  <c r="A161" i="1"/>
  <c r="B161" i="1"/>
  <c r="A162" i="1"/>
  <c r="B162" i="1"/>
  <c r="A163" i="1"/>
  <c r="B163" i="1"/>
  <c r="A164" i="1"/>
  <c r="B164" i="1"/>
  <c r="A165" i="1"/>
  <c r="B165" i="1"/>
  <c r="A166" i="1"/>
  <c r="B166" i="1"/>
  <c r="A167" i="1"/>
  <c r="B167" i="1"/>
  <c r="A168" i="1"/>
  <c r="B168" i="1"/>
  <c r="A169" i="1"/>
  <c r="B169" i="1"/>
  <c r="A170" i="1"/>
  <c r="B170" i="1"/>
  <c r="A171" i="1"/>
  <c r="A172" i="1"/>
  <c r="A173" i="1"/>
  <c r="A174" i="1"/>
  <c r="A175" i="1"/>
  <c r="A176" i="1"/>
  <c r="B176" i="1"/>
  <c r="A177" i="1"/>
  <c r="B177" i="1"/>
  <c r="A178" i="1"/>
  <c r="B178" i="1"/>
  <c r="A179" i="1"/>
  <c r="B179" i="1"/>
  <c r="A180" i="1"/>
  <c r="B180" i="1"/>
  <c r="A181" i="1"/>
  <c r="B181" i="1"/>
  <c r="A182" i="1"/>
  <c r="A183" i="1"/>
  <c r="B183" i="1"/>
  <c r="A184" i="1"/>
  <c r="B184" i="1"/>
  <c r="A185" i="1"/>
  <c r="B185" i="1"/>
  <c r="A186" i="1"/>
  <c r="B186" i="1"/>
  <c r="A187" i="1"/>
  <c r="B187" i="1"/>
  <c r="A188" i="1"/>
  <c r="B188" i="1"/>
  <c r="A189" i="1"/>
  <c r="B189" i="1"/>
  <c r="A190" i="1"/>
  <c r="A191" i="1"/>
  <c r="B191" i="1"/>
  <c r="A192" i="1"/>
  <c r="A193" i="1"/>
  <c r="A194" i="1"/>
  <c r="B194" i="1"/>
  <c r="A195" i="1"/>
  <c r="B195" i="1"/>
  <c r="A196" i="1"/>
  <c r="B196" i="1"/>
  <c r="A197" i="1"/>
  <c r="B197" i="1"/>
  <c r="A198" i="1"/>
  <c r="B198" i="1"/>
  <c r="A199" i="1"/>
  <c r="B199" i="1"/>
  <c r="A200" i="1"/>
  <c r="A201" i="1"/>
  <c r="B201" i="1"/>
  <c r="A202" i="1"/>
  <c r="B202" i="1"/>
  <c r="A203" i="1"/>
  <c r="B203" i="1"/>
  <c r="A204" i="1"/>
  <c r="B204" i="1"/>
  <c r="A205" i="1"/>
  <c r="A206" i="1"/>
  <c r="B206" i="1"/>
  <c r="A207" i="1"/>
  <c r="B207" i="1"/>
  <c r="A208" i="1"/>
  <c r="B208" i="1"/>
  <c r="A209" i="1"/>
  <c r="B209" i="1"/>
  <c r="A210" i="1"/>
  <c r="B210" i="1"/>
  <c r="A211" i="1"/>
  <c r="B211" i="1"/>
  <c r="A212" i="1"/>
  <c r="B212" i="1"/>
  <c r="A213" i="1"/>
  <c r="A214" i="1"/>
  <c r="B214" i="1"/>
  <c r="A215" i="1"/>
  <c r="B215" i="1"/>
  <c r="A216" i="1"/>
  <c r="B216" i="1"/>
  <c r="A217" i="1"/>
  <c r="B217" i="1"/>
  <c r="A218" i="1"/>
  <c r="B218" i="1"/>
  <c r="A219" i="1"/>
  <c r="A220" i="1"/>
  <c r="B220" i="1"/>
  <c r="A221" i="1"/>
  <c r="B221" i="1"/>
  <c r="A222" i="1"/>
  <c r="A223" i="1"/>
  <c r="B223" i="1"/>
  <c r="A224" i="1"/>
  <c r="A225" i="1"/>
  <c r="A226" i="1"/>
  <c r="A227" i="1"/>
  <c r="B227" i="1"/>
  <c r="A228" i="1"/>
  <c r="B228" i="1"/>
  <c r="A229" i="1"/>
  <c r="B229" i="1"/>
  <c r="A230" i="1"/>
  <c r="B230" i="1"/>
  <c r="A231" i="1"/>
  <c r="B231" i="1"/>
  <c r="A232" i="1"/>
  <c r="A233" i="1"/>
  <c r="B233" i="1"/>
  <c r="A234" i="1"/>
  <c r="B234" i="1"/>
  <c r="A235" i="1"/>
  <c r="B235" i="1"/>
  <c r="A236" i="1"/>
  <c r="A237" i="1"/>
  <c r="A238" i="1"/>
  <c r="B238" i="1"/>
  <c r="A239" i="1"/>
  <c r="B239" i="1"/>
  <c r="A240" i="1"/>
  <c r="B240" i="1"/>
  <c r="A241" i="1"/>
  <c r="A242" i="1"/>
  <c r="B242" i="1"/>
  <c r="A243" i="1"/>
  <c r="B243" i="1"/>
  <c r="A244" i="1"/>
  <c r="A245" i="1"/>
  <c r="B245" i="1"/>
  <c r="A246" i="1"/>
  <c r="B246" i="1"/>
  <c r="A247" i="1"/>
  <c r="B247" i="1"/>
  <c r="A248" i="1"/>
  <c r="B248" i="1"/>
  <c r="A249" i="1"/>
  <c r="A250" i="1"/>
  <c r="B250" i="1"/>
  <c r="A251" i="1"/>
  <c r="B251" i="1"/>
  <c r="A252" i="1"/>
  <c r="B252" i="1"/>
  <c r="A253" i="1"/>
  <c r="B253" i="1"/>
  <c r="A254" i="1"/>
  <c r="B254" i="1"/>
  <c r="A255" i="1"/>
  <c r="A256" i="1"/>
  <c r="A257" i="1"/>
  <c r="A258" i="1"/>
  <c r="A259" i="1"/>
  <c r="A260" i="1"/>
  <c r="A261" i="1"/>
  <c r="A262" i="1"/>
  <c r="B262" i="1"/>
  <c r="A263" i="1"/>
  <c r="B263" i="1"/>
  <c r="A264" i="1"/>
  <c r="B264" i="1"/>
  <c r="A265" i="1"/>
  <c r="B265" i="1"/>
  <c r="A266" i="1"/>
  <c r="B266" i="1"/>
  <c r="A267" i="1"/>
  <c r="B267" i="1"/>
  <c r="A268" i="1"/>
  <c r="B268" i="1"/>
  <c r="A269" i="1"/>
  <c r="B269" i="1"/>
  <c r="A270" i="1"/>
  <c r="B270" i="1"/>
  <c r="A271" i="1"/>
  <c r="A272" i="1"/>
  <c r="B272" i="1"/>
  <c r="A273" i="1"/>
  <c r="B273" i="1"/>
  <c r="A274" i="1"/>
  <c r="B274" i="1"/>
  <c r="A275" i="1"/>
  <c r="B275" i="1"/>
  <c r="A276" i="1"/>
  <c r="B276" i="1"/>
  <c r="A277" i="1"/>
  <c r="B277" i="1"/>
  <c r="A278" i="1"/>
  <c r="A279" i="1"/>
  <c r="B279" i="1"/>
  <c r="A280" i="1"/>
  <c r="B280" i="1"/>
  <c r="A281" i="1"/>
  <c r="B281" i="1"/>
  <c r="A282" i="1"/>
  <c r="B282" i="1"/>
  <c r="A283" i="1"/>
  <c r="B283" i="1"/>
  <c r="A284" i="1"/>
  <c r="B284" i="1"/>
  <c r="A285" i="1"/>
  <c r="B285" i="1"/>
  <c r="A286" i="1"/>
  <c r="B286" i="1"/>
  <c r="A287" i="1"/>
  <c r="B287" i="1"/>
  <c r="A288" i="1"/>
  <c r="B288" i="1"/>
  <c r="A289" i="1"/>
  <c r="B289" i="1"/>
  <c r="A290" i="1"/>
  <c r="B290" i="1"/>
  <c r="A291" i="1"/>
  <c r="A292" i="1"/>
  <c r="B292" i="1"/>
  <c r="A293" i="1"/>
  <c r="B293" i="1"/>
  <c r="A294" i="1"/>
  <c r="B294" i="1"/>
  <c r="A295" i="1"/>
  <c r="B295" i="1"/>
  <c r="A296" i="1"/>
  <c r="B296" i="1"/>
  <c r="A297" i="1"/>
  <c r="B297" i="1"/>
  <c r="A298" i="1"/>
  <c r="B298" i="1"/>
  <c r="A299" i="1"/>
  <c r="B299" i="1"/>
  <c r="A300" i="1"/>
  <c r="B300" i="1"/>
  <c r="A301" i="1"/>
  <c r="B301" i="1"/>
  <c r="A302" i="1"/>
  <c r="B302" i="1"/>
  <c r="A303" i="1"/>
  <c r="B303" i="1"/>
  <c r="A304" i="1"/>
  <c r="B304" i="1"/>
  <c r="A305" i="1"/>
  <c r="B305" i="1"/>
  <c r="A306" i="1"/>
  <c r="B306" i="1"/>
  <c r="A307" i="1"/>
  <c r="B307" i="1"/>
  <c r="A308" i="1"/>
  <c r="B308" i="1"/>
  <c r="A309" i="1"/>
  <c r="A310" i="1"/>
  <c r="A311" i="1"/>
  <c r="B311" i="1"/>
  <c r="A312" i="1"/>
  <c r="B312" i="1"/>
  <c r="A313" i="1"/>
  <c r="B313" i="1"/>
  <c r="A314" i="1"/>
  <c r="B314" i="1"/>
  <c r="A315" i="1"/>
  <c r="B315" i="1"/>
  <c r="A316" i="1"/>
  <c r="B316" i="1"/>
  <c r="A317" i="1"/>
  <c r="B317" i="1"/>
  <c r="A318" i="1"/>
  <c r="B318" i="1"/>
  <c r="A319" i="1"/>
  <c r="A320" i="1"/>
  <c r="A321" i="1"/>
  <c r="B321" i="1"/>
  <c r="A322" i="1"/>
  <c r="B322" i="1"/>
  <c r="A323" i="1"/>
  <c r="A324" i="1"/>
  <c r="B324" i="1"/>
  <c r="A325" i="1"/>
  <c r="A326" i="1"/>
  <c r="B326" i="1"/>
  <c r="A327" i="1"/>
  <c r="B327" i="1"/>
  <c r="A328" i="1"/>
  <c r="B328" i="1"/>
  <c r="A329" i="1"/>
  <c r="B329" i="1"/>
  <c r="A330" i="1"/>
  <c r="B330" i="1"/>
  <c r="A331" i="1"/>
  <c r="B331" i="1"/>
  <c r="A332" i="1"/>
  <c r="B332" i="1"/>
  <c r="A333" i="1"/>
  <c r="A334" i="1"/>
  <c r="B334" i="1"/>
  <c r="A335" i="1"/>
  <c r="B335" i="1"/>
  <c r="A336" i="1"/>
  <c r="B336" i="1"/>
  <c r="A337" i="1"/>
  <c r="B337" i="1"/>
  <c r="A338" i="1"/>
  <c r="B338" i="1"/>
  <c r="A339" i="1"/>
  <c r="B339" i="1"/>
  <c r="A340" i="1"/>
  <c r="A341" i="1"/>
  <c r="B341" i="1"/>
  <c r="A342" i="1"/>
  <c r="B342" i="1"/>
  <c r="A343" i="1"/>
  <c r="A344" i="1"/>
  <c r="A345" i="1"/>
  <c r="B345" i="1"/>
  <c r="A346" i="1"/>
  <c r="B346" i="1"/>
  <c r="A347" i="1"/>
  <c r="B347" i="1"/>
  <c r="A348" i="1"/>
  <c r="B348" i="1"/>
  <c r="A349" i="1"/>
  <c r="B349" i="1"/>
  <c r="A350" i="1"/>
  <c r="B350" i="1"/>
  <c r="A351" i="1"/>
  <c r="B351" i="1"/>
  <c r="A352" i="1"/>
  <c r="A353" i="1"/>
  <c r="A354" i="1"/>
  <c r="B354" i="1"/>
  <c r="A355" i="1"/>
  <c r="B355" i="1"/>
  <c r="A356" i="1"/>
  <c r="B356" i="1"/>
  <c r="A357" i="1"/>
  <c r="B357" i="1"/>
  <c r="A358" i="1"/>
  <c r="A359" i="1"/>
  <c r="B359" i="1"/>
  <c r="A360" i="1"/>
  <c r="B360" i="1"/>
  <c r="A361" i="1"/>
  <c r="B361" i="1"/>
  <c r="A362" i="1"/>
  <c r="B362" i="1"/>
  <c r="A363" i="1"/>
  <c r="B363" i="1"/>
  <c r="A364" i="1"/>
  <c r="A365" i="1"/>
  <c r="B365" i="1"/>
  <c r="A366" i="1"/>
  <c r="A367" i="1"/>
  <c r="B367" i="1"/>
  <c r="A368" i="1"/>
  <c r="B368" i="1"/>
  <c r="A369" i="1"/>
  <c r="B369" i="1"/>
  <c r="A370" i="1"/>
  <c r="B370" i="1"/>
  <c r="A371" i="1"/>
  <c r="B371" i="1"/>
  <c r="A372" i="1"/>
  <c r="B372" i="1"/>
  <c r="A373" i="1"/>
  <c r="B373" i="1"/>
  <c r="A374" i="1"/>
  <c r="B374" i="1"/>
  <c r="A375" i="1"/>
  <c r="B375" i="1"/>
  <c r="A376" i="1"/>
  <c r="A377" i="1"/>
  <c r="A378" i="1"/>
  <c r="A379" i="1"/>
  <c r="A380" i="1"/>
  <c r="B380" i="1"/>
  <c r="A381" i="1"/>
  <c r="B381" i="1"/>
  <c r="A382" i="1"/>
  <c r="B382" i="1"/>
  <c r="A383" i="1"/>
  <c r="B383" i="1"/>
  <c r="A384" i="1"/>
  <c r="B384" i="1"/>
  <c r="A385" i="1"/>
  <c r="B385" i="1"/>
  <c r="A386" i="1"/>
  <c r="B386" i="1"/>
  <c r="A387" i="1"/>
  <c r="B387" i="1"/>
  <c r="A388" i="1"/>
  <c r="B388" i="1"/>
  <c r="A389" i="1"/>
  <c r="A390" i="1"/>
  <c r="B390" i="1"/>
  <c r="A391" i="1"/>
  <c r="B391" i="1"/>
  <c r="A392" i="1"/>
  <c r="B392" i="1"/>
  <c r="A393" i="1"/>
  <c r="A394" i="1"/>
  <c r="B394" i="1"/>
  <c r="A395" i="1"/>
  <c r="B395" i="1"/>
  <c r="A396" i="1"/>
  <c r="A397" i="1"/>
  <c r="B397" i="1"/>
  <c r="A398" i="1"/>
  <c r="B398" i="1"/>
  <c r="A399" i="1"/>
  <c r="B399" i="1"/>
  <c r="A400" i="1"/>
  <c r="B400" i="1"/>
  <c r="A401" i="1"/>
  <c r="B401" i="1"/>
  <c r="A402" i="1"/>
  <c r="B402" i="1"/>
  <c r="A403" i="1"/>
  <c r="A404" i="1"/>
  <c r="A405" i="1"/>
  <c r="B405" i="1"/>
  <c r="A406" i="1"/>
  <c r="B406" i="1"/>
  <c r="A407" i="1"/>
  <c r="B407" i="1"/>
  <c r="A408" i="1"/>
  <c r="B408" i="1"/>
  <c r="A409" i="1"/>
  <c r="B409" i="1"/>
  <c r="A410" i="1"/>
  <c r="B410" i="1"/>
  <c r="A411" i="1"/>
  <c r="B411" i="1"/>
  <c r="A412" i="1"/>
  <c r="B412" i="1"/>
  <c r="A413" i="1"/>
  <c r="B413" i="1"/>
  <c r="A414" i="1"/>
  <c r="B414" i="1"/>
  <c r="A415" i="1"/>
  <c r="A416" i="1"/>
  <c r="B416" i="1"/>
  <c r="A417" i="1"/>
  <c r="B417" i="1"/>
  <c r="A418" i="1"/>
  <c r="B418" i="1"/>
  <c r="A419" i="1"/>
  <c r="B419" i="1"/>
  <c r="A420" i="1"/>
  <c r="B420" i="1"/>
  <c r="A421" i="1"/>
  <c r="B421" i="1"/>
  <c r="A422" i="1"/>
  <c r="B422" i="1"/>
  <c r="A423" i="1"/>
  <c r="B423" i="1"/>
  <c r="A424" i="1"/>
  <c r="B424" i="1"/>
  <c r="A425" i="1"/>
  <c r="A426" i="1"/>
  <c r="B426" i="1"/>
  <c r="A427" i="1"/>
  <c r="B427" i="1"/>
  <c r="A428" i="1"/>
  <c r="B428" i="1"/>
  <c r="A429" i="1"/>
  <c r="B429" i="1"/>
  <c r="A430" i="1"/>
  <c r="B430" i="1"/>
  <c r="A431" i="1"/>
  <c r="B431" i="1"/>
  <c r="A432" i="1"/>
  <c r="B432" i="1"/>
  <c r="A433" i="1"/>
  <c r="B433" i="1"/>
  <c r="A434" i="1"/>
  <c r="B434" i="1"/>
  <c r="A435" i="1"/>
  <c r="A436" i="1"/>
  <c r="B436" i="1"/>
  <c r="A437" i="1"/>
  <c r="B437" i="1"/>
  <c r="A438" i="1"/>
  <c r="B438" i="1"/>
  <c r="A439" i="1"/>
  <c r="B439" i="1"/>
  <c r="A440" i="1"/>
  <c r="B440" i="1"/>
  <c r="A441" i="1"/>
  <c r="B441" i="1"/>
  <c r="A442" i="1"/>
  <c r="A443" i="1"/>
  <c r="B443" i="1"/>
  <c r="A444" i="1"/>
  <c r="B444" i="1"/>
  <c r="A445" i="1"/>
  <c r="B445" i="1"/>
  <c r="A446" i="1"/>
  <c r="B446" i="1"/>
  <c r="A447" i="1"/>
  <c r="B447" i="1"/>
  <c r="A448" i="1"/>
  <c r="B448" i="1"/>
  <c r="A449" i="1"/>
  <c r="B449" i="1"/>
  <c r="A450" i="1"/>
  <c r="A451" i="1"/>
  <c r="B451" i="1"/>
  <c r="A452" i="1"/>
  <c r="B452" i="1"/>
  <c r="A453" i="1"/>
  <c r="A454" i="1"/>
  <c r="A455" i="1"/>
  <c r="A456" i="1"/>
  <c r="A457" i="1"/>
  <c r="B457" i="1"/>
  <c r="A458" i="1"/>
  <c r="B458" i="1"/>
  <c r="A459" i="1"/>
  <c r="B459" i="1"/>
  <c r="A460" i="1"/>
  <c r="B460" i="1"/>
  <c r="A461" i="1"/>
  <c r="B461" i="1"/>
  <c r="A462" i="1"/>
  <c r="B462" i="1"/>
  <c r="A463" i="1"/>
  <c r="B463" i="1"/>
  <c r="A464" i="1"/>
  <c r="B464" i="1"/>
  <c r="A465" i="1"/>
  <c r="B465" i="1"/>
  <c r="A466" i="1"/>
  <c r="B466" i="1"/>
  <c r="A467" i="1"/>
  <c r="B467" i="1"/>
  <c r="A468" i="1"/>
  <c r="A469" i="1"/>
  <c r="A470" i="1"/>
  <c r="B470" i="1"/>
  <c r="A471" i="1"/>
  <c r="B471" i="1"/>
  <c r="A472" i="1"/>
  <c r="B472" i="1"/>
  <c r="A473" i="1"/>
  <c r="B473" i="1"/>
  <c r="A474" i="1"/>
  <c r="B474" i="1"/>
  <c r="A475" i="1"/>
  <c r="A476" i="1"/>
  <c r="B476" i="1"/>
  <c r="A477" i="1"/>
  <c r="B477" i="1"/>
  <c r="A478" i="1"/>
  <c r="B478" i="1"/>
  <c r="A479" i="1"/>
  <c r="B479" i="1"/>
  <c r="A480" i="1"/>
  <c r="B480" i="1"/>
  <c r="A481" i="1"/>
  <c r="B481" i="1"/>
  <c r="A482" i="1"/>
  <c r="B482" i="1"/>
  <c r="A483" i="1"/>
  <c r="B483" i="1"/>
  <c r="A484" i="1"/>
  <c r="B484" i="1"/>
  <c r="A485" i="1"/>
  <c r="B485" i="1"/>
  <c r="A486" i="1"/>
  <c r="B486" i="1"/>
  <c r="A487" i="1"/>
  <c r="B487" i="1"/>
  <c r="A488" i="1"/>
  <c r="B488" i="1"/>
  <c r="A489" i="1"/>
  <c r="B489" i="1"/>
  <c r="A490" i="1"/>
  <c r="B490" i="1"/>
  <c r="A491" i="1"/>
  <c r="B491" i="1"/>
  <c r="A492" i="1"/>
  <c r="B492" i="1"/>
  <c r="A493" i="1"/>
  <c r="B493" i="1"/>
  <c r="A494" i="1"/>
  <c r="B494" i="1"/>
  <c r="A495" i="1"/>
  <c r="B495" i="1"/>
  <c r="A496" i="1"/>
  <c r="B496" i="1"/>
  <c r="A497" i="1"/>
  <c r="B497" i="1"/>
  <c r="A498" i="1"/>
  <c r="B498" i="1"/>
  <c r="A499" i="1"/>
  <c r="B499" i="1"/>
  <c r="A500" i="1"/>
  <c r="B500" i="1"/>
  <c r="A501" i="1"/>
  <c r="B501" i="1"/>
  <c r="A502" i="1"/>
  <c r="B502" i="1"/>
  <c r="A503" i="1"/>
  <c r="B503" i="1"/>
  <c r="A504" i="1"/>
  <c r="B504" i="1"/>
  <c r="A505" i="1"/>
  <c r="A506" i="1"/>
  <c r="B506" i="1"/>
  <c r="A507" i="1"/>
  <c r="B507" i="1"/>
  <c r="A508" i="1"/>
  <c r="B508" i="1"/>
  <c r="A509" i="1"/>
  <c r="B509" i="1"/>
  <c r="A510" i="1"/>
  <c r="B510" i="1"/>
  <c r="A511" i="1"/>
  <c r="B511" i="1"/>
  <c r="A512" i="1"/>
  <c r="B512" i="1"/>
  <c r="A513" i="1"/>
  <c r="B513" i="1"/>
  <c r="A514" i="1"/>
  <c r="B514" i="1"/>
  <c r="A515" i="1"/>
  <c r="B515" i="1"/>
  <c r="A516" i="1"/>
  <c r="B516" i="1"/>
  <c r="A517" i="1"/>
  <c r="A518" i="1"/>
  <c r="B518" i="1"/>
  <c r="A519" i="1"/>
  <c r="B519" i="1"/>
  <c r="A520" i="1"/>
  <c r="B520" i="1"/>
  <c r="A521" i="1"/>
  <c r="B521" i="1"/>
  <c r="A522" i="1"/>
  <c r="B522" i="1"/>
  <c r="A523" i="1"/>
  <c r="B523" i="1"/>
  <c r="A524" i="1"/>
  <c r="B524" i="1"/>
  <c r="A525" i="1"/>
  <c r="B525" i="1"/>
  <c r="A526" i="1"/>
  <c r="A527" i="1"/>
  <c r="B527" i="1"/>
  <c r="A528" i="1"/>
  <c r="B528" i="1"/>
  <c r="A529" i="1"/>
  <c r="B529" i="1"/>
  <c r="A530" i="1"/>
  <c r="B530" i="1"/>
  <c r="A531" i="1"/>
  <c r="B531" i="1"/>
  <c r="A532" i="1"/>
  <c r="B532" i="1"/>
  <c r="A533" i="1"/>
  <c r="B533" i="1"/>
  <c r="A534" i="1"/>
  <c r="A535" i="1"/>
  <c r="B535" i="1"/>
  <c r="A536" i="1"/>
  <c r="B536" i="1"/>
  <c r="A537" i="1"/>
  <c r="A538" i="1"/>
  <c r="A539" i="1"/>
  <c r="A540" i="1"/>
  <c r="B540" i="1"/>
  <c r="A541" i="1"/>
  <c r="B541" i="1"/>
  <c r="A542" i="1"/>
  <c r="B542" i="1"/>
  <c r="A543" i="1"/>
  <c r="A544" i="1"/>
  <c r="B544" i="1"/>
  <c r="A545" i="1"/>
  <c r="B545" i="1"/>
  <c r="A546" i="1"/>
  <c r="B546" i="1"/>
  <c r="A547" i="1"/>
  <c r="B547" i="1"/>
  <c r="A548" i="1"/>
  <c r="B548" i="1"/>
  <c r="A549" i="1"/>
  <c r="A550" i="1"/>
  <c r="B550" i="1"/>
  <c r="A551" i="1"/>
  <c r="A552" i="1"/>
  <c r="B552" i="1"/>
  <c r="A553" i="1"/>
  <c r="B553" i="1"/>
  <c r="A554" i="1"/>
  <c r="B554" i="1"/>
  <c r="A555" i="1"/>
  <c r="B555" i="1"/>
  <c r="A556" i="1"/>
  <c r="B556" i="1"/>
  <c r="A557" i="1"/>
  <c r="B557" i="1"/>
  <c r="A558" i="1"/>
  <c r="B558" i="1"/>
  <c r="A559" i="1"/>
  <c r="B559" i="1"/>
  <c r="A560" i="1"/>
  <c r="B560" i="1"/>
  <c r="A561" i="1"/>
  <c r="B561" i="1"/>
  <c r="A562" i="1"/>
  <c r="B562" i="1"/>
  <c r="A563" i="1"/>
  <c r="B563" i="1"/>
  <c r="A564" i="1"/>
  <c r="B564" i="1"/>
  <c r="A565" i="1"/>
  <c r="B565" i="1"/>
  <c r="A566" i="1"/>
  <c r="B566" i="1"/>
  <c r="A567" i="1"/>
  <c r="A568" i="1"/>
  <c r="B568" i="1"/>
  <c r="A569" i="1"/>
  <c r="B569" i="1"/>
  <c r="A570" i="1"/>
  <c r="B570" i="1"/>
  <c r="A571" i="1"/>
  <c r="B571" i="1"/>
  <c r="A572" i="1"/>
  <c r="B572" i="1"/>
  <c r="A573" i="1"/>
  <c r="A574" i="1"/>
  <c r="B574" i="1"/>
  <c r="A575" i="1"/>
  <c r="B575" i="1"/>
  <c r="A576" i="1"/>
  <c r="B576" i="1"/>
  <c r="A577" i="1"/>
  <c r="B577" i="1"/>
  <c r="A578" i="1"/>
  <c r="B578" i="1"/>
  <c r="A579" i="1"/>
  <c r="B579" i="1"/>
  <c r="A580" i="1"/>
  <c r="B580" i="1"/>
  <c r="A581" i="1"/>
  <c r="B581" i="1"/>
  <c r="A582" i="1"/>
  <c r="B582" i="1"/>
  <c r="A583" i="1"/>
  <c r="B583" i="1"/>
  <c r="A584" i="1"/>
  <c r="B584" i="1"/>
  <c r="A585" i="1"/>
  <c r="B585" i="1"/>
  <c r="A586" i="1"/>
  <c r="B586" i="1"/>
  <c r="A587" i="1"/>
  <c r="B587" i="1"/>
  <c r="A588" i="1"/>
  <c r="B588" i="1"/>
  <c r="A589" i="1"/>
  <c r="B589" i="1"/>
  <c r="A590" i="1"/>
  <c r="B590" i="1"/>
  <c r="A591" i="1"/>
  <c r="B591" i="1"/>
  <c r="A592" i="1"/>
  <c r="B592" i="1"/>
  <c r="A593" i="1"/>
  <c r="B593" i="1"/>
  <c r="A594" i="1"/>
  <c r="B594" i="1"/>
  <c r="A595" i="1"/>
  <c r="B595" i="1"/>
  <c r="A596" i="1"/>
  <c r="B596" i="1"/>
  <c r="A597" i="1"/>
  <c r="B597" i="1"/>
  <c r="A598" i="1"/>
  <c r="B598" i="1"/>
  <c r="A599" i="1"/>
  <c r="B599" i="1"/>
  <c r="A600" i="1"/>
  <c r="B600" i="1"/>
  <c r="A601" i="1"/>
  <c r="B601" i="1"/>
  <c r="A602" i="1"/>
  <c r="B602" i="1"/>
  <c r="A603" i="1"/>
  <c r="B603" i="1"/>
  <c r="A604" i="1"/>
  <c r="B604" i="1"/>
  <c r="A605" i="1"/>
  <c r="B605" i="1"/>
  <c r="A606" i="1"/>
  <c r="B606" i="1"/>
  <c r="A607" i="1"/>
  <c r="B607" i="1"/>
  <c r="A608" i="1"/>
  <c r="B608" i="1"/>
  <c r="A609" i="1"/>
  <c r="B609" i="1"/>
  <c r="A610" i="1"/>
  <c r="B610" i="1"/>
  <c r="A611" i="1"/>
  <c r="A612" i="1"/>
  <c r="B612" i="1"/>
  <c r="A613" i="1"/>
  <c r="B613" i="1"/>
  <c r="A614" i="1"/>
  <c r="B614" i="1"/>
  <c r="A615" i="1"/>
  <c r="B615" i="1"/>
  <c r="A616" i="1"/>
  <c r="B616" i="1"/>
  <c r="A617" i="1"/>
  <c r="A618" i="1"/>
  <c r="B618" i="1"/>
  <c r="A619" i="1"/>
  <c r="B619" i="1"/>
  <c r="A620" i="1"/>
  <c r="B620" i="1"/>
  <c r="A621" i="1"/>
  <c r="A622" i="1"/>
  <c r="A623" i="1"/>
  <c r="A624" i="1"/>
  <c r="A625" i="1"/>
  <c r="A626" i="1"/>
  <c r="A627" i="1"/>
  <c r="A628" i="1"/>
  <c r="A629" i="1"/>
  <c r="A630" i="1"/>
  <c r="A631" i="1"/>
  <c r="A632" i="1"/>
  <c r="A633" i="1"/>
  <c r="B633" i="1"/>
  <c r="A634" i="1"/>
  <c r="B634" i="1"/>
  <c r="A635" i="1"/>
  <c r="B635" i="1"/>
  <c r="A636" i="1"/>
  <c r="B636" i="1"/>
  <c r="A637" i="1"/>
  <c r="A638" i="1"/>
  <c r="B638" i="1"/>
  <c r="A639" i="1"/>
  <c r="B639" i="1"/>
  <c r="A640" i="1"/>
  <c r="B640" i="1"/>
  <c r="A641" i="1"/>
  <c r="B641" i="1"/>
  <c r="A642" i="1"/>
  <c r="B642" i="1"/>
  <c r="A643" i="1"/>
  <c r="A644" i="1"/>
  <c r="B644" i="1"/>
  <c r="A645" i="1"/>
  <c r="A646" i="1"/>
  <c r="A647" i="1"/>
  <c r="A648" i="1"/>
  <c r="A649" i="1"/>
  <c r="A650" i="1"/>
  <c r="B650" i="1"/>
  <c r="A651" i="1"/>
  <c r="B651" i="1"/>
  <c r="A652" i="1"/>
  <c r="B652" i="1"/>
  <c r="A653" i="1"/>
  <c r="B653" i="1"/>
  <c r="A654" i="1"/>
  <c r="B654" i="1"/>
  <c r="A655" i="1"/>
  <c r="B655" i="1"/>
  <c r="A656" i="1"/>
  <c r="A657" i="1"/>
  <c r="A658" i="1"/>
  <c r="B658" i="1"/>
  <c r="A659" i="1"/>
  <c r="B659" i="1"/>
  <c r="A660" i="1"/>
  <c r="A661" i="1"/>
  <c r="B661" i="1"/>
  <c r="A662" i="1"/>
  <c r="B662" i="1"/>
  <c r="A663" i="1"/>
  <c r="B663" i="1"/>
  <c r="A664" i="1"/>
  <c r="A665" i="1"/>
  <c r="A666" i="1"/>
  <c r="B666" i="1"/>
  <c r="A667" i="1"/>
  <c r="B667" i="1"/>
  <c r="A668" i="1"/>
  <c r="B668" i="1"/>
  <c r="A669" i="1"/>
  <c r="A670" i="1"/>
  <c r="B670" i="1"/>
  <c r="A671" i="1"/>
  <c r="B671" i="1"/>
  <c r="A672" i="1"/>
  <c r="A673" i="1"/>
  <c r="B673" i="1"/>
  <c r="A674" i="1"/>
  <c r="B674" i="1"/>
  <c r="A675" i="1"/>
  <c r="B675" i="1"/>
  <c r="A676" i="1"/>
  <c r="B676" i="1"/>
  <c r="A677" i="1"/>
  <c r="B677" i="1"/>
  <c r="A678" i="1"/>
  <c r="A679" i="1"/>
  <c r="B679" i="1"/>
  <c r="A680" i="1"/>
  <c r="B680" i="1"/>
  <c r="A681" i="1"/>
  <c r="A682" i="1"/>
  <c r="A683" i="1"/>
  <c r="A684" i="1"/>
  <c r="A685" i="1"/>
  <c r="A686" i="1"/>
  <c r="A687" i="1"/>
  <c r="B687" i="1"/>
  <c r="A688" i="1"/>
  <c r="B688" i="1"/>
  <c r="A689" i="1"/>
  <c r="B689" i="1"/>
  <c r="A690" i="1"/>
  <c r="B690" i="1"/>
  <c r="A691" i="1"/>
  <c r="A692" i="1"/>
  <c r="B692" i="1"/>
  <c r="A693" i="1"/>
  <c r="A694" i="1"/>
  <c r="A695" i="1"/>
  <c r="B695" i="1"/>
  <c r="A696" i="1"/>
  <c r="A697" i="1"/>
  <c r="B697" i="1"/>
  <c r="A698" i="1"/>
  <c r="B698" i="1"/>
  <c r="A699" i="1"/>
  <c r="B699" i="1"/>
  <c r="A700" i="1"/>
  <c r="B700" i="1"/>
  <c r="A701" i="1"/>
  <c r="B701" i="1"/>
  <c r="A702" i="1"/>
  <c r="A703" i="1"/>
  <c r="B703" i="1"/>
  <c r="A704" i="1"/>
  <c r="A705" i="1"/>
  <c r="B705" i="1"/>
  <c r="A706" i="1"/>
  <c r="B706" i="1"/>
  <c r="A707" i="1"/>
  <c r="B707" i="1"/>
  <c r="A708" i="1"/>
  <c r="B708" i="1"/>
  <c r="A709" i="1"/>
  <c r="A710" i="1"/>
  <c r="B710" i="1"/>
  <c r="A711" i="1"/>
  <c r="B711" i="1"/>
  <c r="A712" i="1"/>
  <c r="B712" i="1"/>
  <c r="A713" i="1"/>
  <c r="B713" i="1"/>
  <c r="A714" i="1"/>
  <c r="B714" i="1"/>
  <c r="A715" i="1"/>
  <c r="B715" i="1"/>
  <c r="A716" i="1"/>
  <c r="B716" i="1"/>
  <c r="A717" i="1"/>
  <c r="B717" i="1"/>
  <c r="A718" i="1"/>
  <c r="B718" i="1"/>
  <c r="A719" i="1"/>
  <c r="B719" i="1"/>
  <c r="A720" i="1"/>
  <c r="B720" i="1"/>
  <c r="A721" i="1"/>
  <c r="A722" i="1"/>
  <c r="A723" i="1"/>
  <c r="B723" i="1"/>
  <c r="A724" i="1"/>
  <c r="A725" i="1"/>
  <c r="A726" i="1"/>
  <c r="A727" i="1"/>
  <c r="A728" i="1"/>
  <c r="A729" i="1"/>
  <c r="A730" i="1"/>
  <c r="A731" i="1"/>
  <c r="B731" i="1"/>
  <c r="A732" i="1"/>
  <c r="A733" i="1"/>
  <c r="A734" i="1"/>
  <c r="B734" i="1"/>
  <c r="A735" i="1"/>
  <c r="B735" i="1"/>
  <c r="A736" i="1"/>
  <c r="B736" i="1"/>
  <c r="A737" i="1"/>
  <c r="B737" i="1"/>
  <c r="A738" i="1"/>
  <c r="B738" i="1"/>
  <c r="A739" i="1"/>
  <c r="A740" i="1"/>
  <c r="A741" i="1"/>
  <c r="B741" i="1"/>
  <c r="A742" i="1"/>
  <c r="B742" i="1"/>
  <c r="A743" i="1"/>
  <c r="A744" i="1"/>
  <c r="B744" i="1"/>
  <c r="A745" i="1"/>
  <c r="B745" i="1"/>
  <c r="A746" i="1"/>
  <c r="B746" i="1"/>
  <c r="A747" i="1"/>
  <c r="B747" i="1"/>
  <c r="A748" i="1"/>
  <c r="B748" i="1"/>
  <c r="A749" i="1"/>
  <c r="B749" i="1"/>
  <c r="A750" i="1"/>
  <c r="B750" i="1"/>
  <c r="A751" i="1"/>
  <c r="B751" i="1"/>
  <c r="A752" i="1"/>
  <c r="B752" i="1"/>
  <c r="A753" i="1"/>
  <c r="A754" i="1"/>
  <c r="A755" i="1"/>
  <c r="B755" i="1"/>
  <c r="A756" i="1"/>
  <c r="A757" i="1"/>
  <c r="B757" i="1"/>
  <c r="A758" i="1"/>
  <c r="B758" i="1"/>
  <c r="A759" i="1"/>
  <c r="B759" i="1"/>
  <c r="A760" i="1"/>
  <c r="B760" i="1"/>
  <c r="A761" i="1"/>
  <c r="B761" i="1"/>
  <c r="A762" i="1"/>
  <c r="A763" i="1"/>
  <c r="B763" i="1"/>
  <c r="A764" i="1"/>
  <c r="B764" i="1"/>
  <c r="A765" i="1"/>
  <c r="A766" i="1"/>
  <c r="A767" i="1"/>
  <c r="A768" i="1"/>
  <c r="B768" i="1"/>
  <c r="A769" i="1"/>
  <c r="A770" i="1"/>
  <c r="B770" i="1"/>
  <c r="A771" i="1"/>
  <c r="A772" i="1"/>
  <c r="B772" i="1"/>
  <c r="A773" i="1"/>
  <c r="B773" i="1"/>
  <c r="A774" i="1"/>
  <c r="B774" i="1"/>
  <c r="A775" i="1"/>
  <c r="B775" i="1"/>
  <c r="A776" i="1"/>
  <c r="A777" i="1"/>
  <c r="B777" i="1"/>
  <c r="A778" i="1"/>
  <c r="B778" i="1"/>
  <c r="A779" i="1"/>
  <c r="B779" i="1"/>
  <c r="A780" i="1"/>
  <c r="B780" i="1"/>
  <c r="A781" i="1"/>
  <c r="B781" i="1"/>
  <c r="A782" i="1"/>
  <c r="B782" i="1"/>
  <c r="A783" i="1"/>
  <c r="A784" i="1"/>
  <c r="B784" i="1"/>
  <c r="A785" i="1"/>
  <c r="A786" i="1"/>
  <c r="A787" i="1"/>
  <c r="A788" i="1"/>
  <c r="B788" i="1"/>
  <c r="A789" i="1"/>
  <c r="B789" i="1"/>
  <c r="A790" i="1"/>
  <c r="B790" i="1"/>
  <c r="A791" i="1"/>
  <c r="B791" i="1"/>
  <c r="A792" i="1"/>
  <c r="A793" i="1"/>
  <c r="A794" i="1"/>
  <c r="A795" i="1"/>
  <c r="B795" i="1"/>
  <c r="A796" i="1"/>
  <c r="A797" i="1"/>
  <c r="A798" i="1"/>
  <c r="A799" i="1"/>
  <c r="B799" i="1"/>
  <c r="A800" i="1"/>
  <c r="A801" i="1"/>
  <c r="A802" i="1"/>
  <c r="A803" i="1"/>
  <c r="B803" i="1"/>
  <c r="A804" i="1"/>
  <c r="A805" i="1"/>
  <c r="B805" i="1"/>
  <c r="A806" i="1"/>
  <c r="A807" i="1"/>
  <c r="A808" i="1"/>
  <c r="A809" i="1"/>
  <c r="B809" i="1"/>
  <c r="A810" i="1"/>
  <c r="B810" i="1"/>
  <c r="A811" i="1"/>
  <c r="B811" i="1"/>
  <c r="A812" i="1"/>
  <c r="B812" i="1"/>
  <c r="A813" i="1"/>
  <c r="A814" i="1"/>
  <c r="B814" i="1"/>
  <c r="A815" i="1"/>
  <c r="B815" i="1"/>
  <c r="A816" i="1"/>
  <c r="B816" i="1"/>
  <c r="A817" i="1"/>
  <c r="B817" i="1"/>
  <c r="A818" i="1"/>
  <c r="B818" i="1"/>
  <c r="A819" i="1"/>
  <c r="B819" i="1"/>
  <c r="A820" i="1"/>
  <c r="A821" i="1"/>
  <c r="B821" i="1"/>
  <c r="A822" i="1"/>
  <c r="B822" i="1"/>
  <c r="A823" i="1"/>
  <c r="A824" i="1"/>
  <c r="A825" i="1"/>
  <c r="B825" i="1"/>
  <c r="A826" i="1"/>
  <c r="B826" i="1"/>
  <c r="A827" i="1"/>
  <c r="A828" i="1"/>
  <c r="B828" i="1"/>
  <c r="A829" i="1"/>
  <c r="A830" i="1"/>
  <c r="B830" i="1"/>
  <c r="A831" i="1"/>
  <c r="A832" i="1"/>
  <c r="A833" i="1"/>
  <c r="B833" i="1"/>
  <c r="A834" i="1"/>
  <c r="B834" i="1"/>
  <c r="A835" i="1"/>
  <c r="B835" i="1"/>
  <c r="A836" i="1"/>
  <c r="B836" i="1"/>
  <c r="A837" i="1"/>
  <c r="A838" i="1"/>
  <c r="A839" i="1"/>
  <c r="A840" i="1"/>
  <c r="A841" i="1"/>
  <c r="B841" i="1"/>
  <c r="A842" i="1"/>
  <c r="B842" i="1"/>
  <c r="A843" i="1"/>
  <c r="B843" i="1"/>
  <c r="A844" i="1"/>
  <c r="B844" i="1"/>
  <c r="A845" i="1"/>
  <c r="B845" i="1"/>
  <c r="A846" i="1"/>
  <c r="B846" i="1"/>
  <c r="A847" i="1"/>
  <c r="B847" i="1"/>
  <c r="A848" i="1"/>
  <c r="B848" i="1"/>
  <c r="A849" i="1"/>
  <c r="B849" i="1"/>
  <c r="A850" i="1"/>
  <c r="B850" i="1"/>
  <c r="A851" i="1"/>
  <c r="B851" i="1"/>
  <c r="A852" i="1"/>
  <c r="B852" i="1"/>
  <c r="A853" i="1"/>
  <c r="B853" i="1"/>
  <c r="A854" i="1"/>
  <c r="B854" i="1"/>
  <c r="A855" i="1"/>
  <c r="B855" i="1"/>
  <c r="A856" i="1"/>
  <c r="B856" i="1"/>
  <c r="A857" i="1"/>
  <c r="B857" i="1"/>
  <c r="A858" i="1"/>
  <c r="B858" i="1"/>
  <c r="A859" i="1"/>
  <c r="B859" i="1"/>
  <c r="A860" i="1"/>
  <c r="A861" i="1"/>
  <c r="B861" i="1"/>
  <c r="A862" i="1"/>
  <c r="B862" i="1"/>
  <c r="A863" i="1"/>
  <c r="B863" i="1"/>
  <c r="A864" i="1"/>
  <c r="B864" i="1"/>
  <c r="A865" i="1"/>
  <c r="B865" i="1"/>
  <c r="A866" i="1"/>
  <c r="A867" i="1"/>
  <c r="A868" i="1"/>
  <c r="A869" i="1"/>
  <c r="A870" i="1"/>
  <c r="B870" i="1"/>
  <c r="A871" i="1"/>
  <c r="B871" i="1"/>
  <c r="A872" i="1"/>
  <c r="B872" i="1"/>
  <c r="A873" i="1"/>
  <c r="B873" i="1"/>
  <c r="A874" i="1"/>
  <c r="A875" i="1"/>
  <c r="A876" i="1"/>
  <c r="B876" i="1"/>
  <c r="A877" i="1"/>
  <c r="B877" i="1"/>
  <c r="A878" i="1"/>
  <c r="B878" i="1"/>
  <c r="A879" i="1"/>
  <c r="B879" i="1"/>
  <c r="A880" i="1"/>
  <c r="B880" i="1"/>
  <c r="A881" i="1"/>
  <c r="A882" i="1"/>
  <c r="B882" i="1"/>
  <c r="A883" i="1"/>
  <c r="A884" i="1"/>
  <c r="B884" i="1"/>
  <c r="A885" i="1"/>
  <c r="B885" i="1"/>
  <c r="A886" i="1"/>
  <c r="B886" i="1"/>
  <c r="A887" i="1"/>
  <c r="B887" i="1"/>
  <c r="A888" i="1"/>
  <c r="B888" i="1"/>
  <c r="A889" i="1"/>
  <c r="B889" i="1"/>
  <c r="A890" i="1"/>
  <c r="B890" i="1"/>
  <c r="A891" i="1"/>
  <c r="B891" i="1"/>
  <c r="A892" i="1"/>
  <c r="B892" i="1"/>
  <c r="A893" i="1"/>
  <c r="B893" i="1"/>
  <c r="A894" i="1"/>
  <c r="B894" i="1"/>
  <c r="A895" i="1"/>
  <c r="B895" i="1"/>
  <c r="A896" i="1"/>
  <c r="B896" i="1"/>
  <c r="A897" i="1"/>
  <c r="B897" i="1"/>
  <c r="A898" i="1"/>
  <c r="B898" i="1"/>
  <c r="A899" i="1"/>
  <c r="B899" i="1"/>
  <c r="A900" i="1"/>
  <c r="A901" i="1"/>
  <c r="B901" i="1"/>
  <c r="A902" i="1"/>
  <c r="B902" i="1"/>
  <c r="A903" i="1"/>
  <c r="B903" i="1"/>
  <c r="A904" i="1"/>
  <c r="B904" i="1"/>
  <c r="A905" i="1"/>
  <c r="B905" i="1"/>
  <c r="A906" i="1"/>
  <c r="B906" i="1"/>
  <c r="A907" i="1"/>
  <c r="B907" i="1"/>
  <c r="A908" i="1"/>
  <c r="B908" i="1"/>
  <c r="A909" i="1"/>
  <c r="B909" i="1"/>
  <c r="A910" i="1"/>
  <c r="B910" i="1"/>
  <c r="A911" i="1"/>
  <c r="B911" i="1"/>
  <c r="A912" i="1"/>
  <c r="B912" i="1"/>
  <c r="A913" i="1"/>
  <c r="B913" i="1"/>
  <c r="A914" i="1"/>
  <c r="B914" i="1"/>
  <c r="A915" i="1"/>
  <c r="B915" i="1"/>
  <c r="A916" i="1"/>
  <c r="B916" i="1"/>
  <c r="A917" i="1"/>
  <c r="B917" i="1"/>
  <c r="A918" i="1"/>
  <c r="B918" i="1"/>
  <c r="A919" i="1"/>
  <c r="B919" i="1"/>
  <c r="A920" i="1"/>
  <c r="B920" i="1"/>
  <c r="A921" i="1"/>
  <c r="B921" i="1"/>
  <c r="A922" i="1"/>
  <c r="A923" i="1"/>
  <c r="B923" i="1"/>
  <c r="A924" i="1"/>
  <c r="B924" i="1"/>
  <c r="A925" i="1"/>
  <c r="B925" i="1"/>
  <c r="A926" i="1"/>
  <c r="A927" i="1"/>
  <c r="B927" i="1"/>
  <c r="A928" i="1"/>
  <c r="B928" i="1"/>
  <c r="A929" i="1"/>
  <c r="B929" i="1"/>
  <c r="A930" i="1"/>
  <c r="B930" i="1"/>
  <c r="A931" i="1"/>
  <c r="B931" i="1"/>
  <c r="A932" i="1"/>
  <c r="A933" i="1"/>
  <c r="A934" i="1"/>
  <c r="B934" i="1"/>
  <c r="A935" i="1"/>
  <c r="A936" i="1"/>
  <c r="B936" i="1"/>
  <c r="A937" i="1"/>
  <c r="A938" i="1"/>
  <c r="B938" i="1"/>
  <c r="A939" i="1"/>
  <c r="A940" i="1"/>
  <c r="A941" i="1"/>
  <c r="B941" i="1"/>
  <c r="A942" i="1"/>
  <c r="B942" i="1"/>
  <c r="A943" i="1"/>
  <c r="B943" i="1"/>
  <c r="A944" i="1"/>
  <c r="A945" i="1"/>
  <c r="A946" i="1"/>
  <c r="B946" i="1"/>
  <c r="A947" i="1"/>
  <c r="B947" i="1"/>
  <c r="A948" i="1"/>
  <c r="B948" i="1"/>
  <c r="A949" i="1"/>
  <c r="B949" i="1"/>
  <c r="A950" i="1"/>
  <c r="B950" i="1"/>
  <c r="A951" i="1"/>
  <c r="B951" i="1"/>
  <c r="A952" i="1"/>
  <c r="B952" i="1"/>
  <c r="A953" i="1"/>
  <c r="B953" i="1"/>
  <c r="A954" i="1"/>
  <c r="B954" i="1"/>
  <c r="A955" i="1"/>
  <c r="B955" i="1"/>
  <c r="A956" i="1"/>
  <c r="B956" i="1"/>
  <c r="A957" i="1"/>
  <c r="B957" i="1"/>
  <c r="A958" i="1"/>
  <c r="B958" i="1"/>
  <c r="A959" i="1"/>
  <c r="A960" i="1"/>
  <c r="B960" i="1"/>
  <c r="A961" i="1"/>
  <c r="B961" i="1"/>
  <c r="A962" i="1"/>
  <c r="B962" i="1"/>
  <c r="A963" i="1"/>
  <c r="B963" i="1"/>
  <c r="A964" i="1"/>
  <c r="B964" i="1"/>
  <c r="A965" i="1"/>
  <c r="A966" i="1"/>
  <c r="B966" i="1"/>
  <c r="A967" i="1"/>
  <c r="B967" i="1"/>
  <c r="A968" i="1"/>
  <c r="B968" i="1"/>
  <c r="A969" i="1"/>
  <c r="B969" i="1"/>
  <c r="A970" i="1"/>
  <c r="A971" i="1"/>
  <c r="B971" i="1"/>
  <c r="A972" i="1"/>
  <c r="B972" i="1"/>
  <c r="A973" i="1"/>
  <c r="B973" i="1"/>
  <c r="A974" i="1"/>
  <c r="B974" i="1"/>
  <c r="A975" i="1"/>
  <c r="B975" i="1"/>
  <c r="A976" i="1"/>
  <c r="B976" i="1"/>
  <c r="A977" i="1"/>
  <c r="B977" i="1"/>
  <c r="A978" i="1"/>
  <c r="B978" i="1"/>
  <c r="A979" i="1"/>
  <c r="A980" i="1"/>
  <c r="B980" i="1"/>
  <c r="A981" i="1"/>
  <c r="A982" i="1"/>
  <c r="A983" i="1"/>
  <c r="B983" i="1"/>
  <c r="A984" i="1"/>
  <c r="B984" i="1"/>
  <c r="A985" i="1"/>
  <c r="B985" i="1"/>
  <c r="A986" i="1"/>
  <c r="B986" i="1"/>
  <c r="A987" i="1"/>
  <c r="B987" i="1"/>
  <c r="A988" i="1"/>
  <c r="B988" i="1"/>
  <c r="A989" i="1"/>
  <c r="B989" i="1"/>
  <c r="A990" i="1"/>
  <c r="B990" i="1"/>
  <c r="A991" i="1"/>
  <c r="A992" i="1"/>
  <c r="B992" i="1"/>
  <c r="A993" i="1"/>
  <c r="B993" i="1"/>
  <c r="A994" i="1"/>
  <c r="B994" i="1"/>
  <c r="A995" i="1"/>
  <c r="B995" i="1"/>
  <c r="A996" i="1"/>
  <c r="B996" i="1"/>
  <c r="A997" i="1"/>
  <c r="B997" i="1"/>
  <c r="A998" i="1"/>
  <c r="B998" i="1"/>
  <c r="A999" i="1"/>
  <c r="B999" i="1"/>
  <c r="A1000" i="1"/>
  <c r="A1001" i="1"/>
  <c r="A1002" i="1"/>
  <c r="A1003" i="1"/>
  <c r="B1003" i="1"/>
  <c r="A1004" i="1"/>
  <c r="B1004" i="1"/>
  <c r="A1005" i="1"/>
  <c r="B1005" i="1"/>
  <c r="A1006" i="1"/>
  <c r="B1006" i="1"/>
  <c r="A1007" i="1"/>
  <c r="B1007" i="1"/>
  <c r="A1008" i="1"/>
  <c r="B1008" i="1"/>
  <c r="A1009" i="1"/>
  <c r="B1009" i="1"/>
  <c r="A1010" i="1"/>
  <c r="B1010" i="1"/>
  <c r="A1011" i="1"/>
  <c r="B1011" i="1"/>
  <c r="A1012" i="1"/>
  <c r="B1012" i="1"/>
  <c r="A1013" i="1"/>
  <c r="A1014" i="1"/>
  <c r="B1014" i="1"/>
  <c r="A1015" i="1"/>
  <c r="A1016" i="1"/>
  <c r="B1016" i="1"/>
  <c r="A1017" i="1"/>
  <c r="B1017" i="1"/>
  <c r="A1018" i="1"/>
  <c r="B1018" i="1"/>
  <c r="A1019" i="1"/>
  <c r="B1019" i="1"/>
  <c r="A1020" i="1"/>
  <c r="B1020" i="1"/>
  <c r="A1021" i="1"/>
  <c r="B1021" i="1"/>
  <c r="A1022" i="1"/>
  <c r="B1022" i="1"/>
  <c r="A1023" i="1"/>
  <c r="B1023" i="1"/>
  <c r="A1024" i="1"/>
  <c r="B1024" i="1"/>
  <c r="A1025" i="1"/>
  <c r="B1025" i="1"/>
  <c r="A1026" i="1"/>
  <c r="B1026" i="1"/>
  <c r="A1027" i="1"/>
  <c r="A1028" i="1"/>
  <c r="A1029" i="1"/>
  <c r="A1030" i="1"/>
  <c r="A1031" i="1"/>
  <c r="A1032" i="1"/>
  <c r="A1033" i="1"/>
  <c r="A1034" i="1"/>
  <c r="A1035" i="1"/>
  <c r="A1036" i="1"/>
  <c r="A1037" i="1"/>
  <c r="A1038" i="1"/>
  <c r="A1039" i="1"/>
  <c r="B1039" i="1"/>
  <c r="A1040" i="1"/>
  <c r="B1040" i="1"/>
  <c r="A1041" i="1"/>
  <c r="A1042" i="1"/>
  <c r="A1043" i="1"/>
  <c r="A1044" i="1"/>
  <c r="B1044" i="1"/>
  <c r="A1045" i="1"/>
  <c r="B1045" i="1"/>
  <c r="A1046" i="1"/>
  <c r="B1046" i="1"/>
  <c r="A1047" i="1"/>
  <c r="B1047" i="1"/>
  <c r="A1048" i="1"/>
  <c r="B1048" i="1"/>
  <c r="A1049" i="1"/>
  <c r="B1049" i="1"/>
  <c r="A1050" i="1"/>
  <c r="B1050" i="1"/>
  <c r="A1051" i="1"/>
  <c r="B1051" i="1"/>
  <c r="A1052" i="1"/>
  <c r="B1052" i="1"/>
  <c r="A1053" i="1"/>
  <c r="B1053" i="1"/>
  <c r="A1054" i="1"/>
  <c r="B1054" i="1"/>
  <c r="A1055" i="1"/>
  <c r="B1055" i="1"/>
  <c r="A1056" i="1"/>
  <c r="A1057" i="1"/>
  <c r="B1057" i="1"/>
  <c r="A1058" i="1"/>
  <c r="B1058" i="1"/>
  <c r="A1059" i="1"/>
  <c r="B1059" i="1"/>
  <c r="A1060" i="1"/>
  <c r="B1060" i="1"/>
  <c r="A1061" i="1"/>
  <c r="B1061" i="1"/>
  <c r="A1062" i="1"/>
  <c r="B1062" i="1"/>
  <c r="A1063" i="1"/>
  <c r="B1063" i="1"/>
  <c r="A1064" i="1"/>
  <c r="A1065" i="1"/>
  <c r="B1065" i="1"/>
  <c r="A1066" i="1"/>
  <c r="B1066" i="1"/>
  <c r="A1067" i="1"/>
  <c r="B1067" i="1"/>
  <c r="A1068" i="1"/>
  <c r="B1068" i="1"/>
  <c r="A1069" i="1"/>
  <c r="B1069" i="1"/>
  <c r="A1070" i="1"/>
  <c r="B1070" i="1"/>
  <c r="A1071" i="1"/>
  <c r="B1071" i="1"/>
  <c r="A1072" i="1"/>
  <c r="B1072" i="1"/>
  <c r="A1073" i="1"/>
  <c r="B1073" i="1"/>
  <c r="A1074" i="1"/>
  <c r="A1075" i="1"/>
  <c r="B1075" i="1"/>
  <c r="A1076" i="1"/>
  <c r="B1076" i="1"/>
  <c r="A1077" i="1"/>
  <c r="B1077" i="1"/>
  <c r="A1078" i="1"/>
  <c r="B1078" i="1"/>
  <c r="A1079" i="1"/>
  <c r="B1079" i="1"/>
  <c r="A1080" i="1"/>
  <c r="B1080" i="1"/>
  <c r="A1081" i="1"/>
  <c r="B1081" i="1"/>
  <c r="A1082" i="1"/>
  <c r="B1082" i="1"/>
  <c r="A1083" i="1"/>
  <c r="B1083" i="1"/>
  <c r="A1084" i="1"/>
  <c r="B1084" i="1"/>
  <c r="A1085" i="1"/>
  <c r="B1085" i="1"/>
  <c r="A1086" i="1"/>
  <c r="A1087" i="1"/>
  <c r="B1087" i="1"/>
  <c r="A1088" i="1"/>
  <c r="B1088" i="1"/>
  <c r="A1089" i="1"/>
  <c r="B1089" i="1"/>
  <c r="A1090" i="1"/>
  <c r="B1090" i="1"/>
  <c r="A1091" i="1"/>
  <c r="B1091" i="1"/>
  <c r="A1092" i="1"/>
  <c r="B1092" i="1"/>
  <c r="A1093" i="1"/>
  <c r="B1093" i="1"/>
  <c r="A1094" i="1"/>
  <c r="A1095" i="1"/>
  <c r="A1096" i="1"/>
  <c r="B1096" i="1"/>
  <c r="A1097" i="1"/>
  <c r="B1097" i="1"/>
  <c r="A1098" i="1"/>
  <c r="B1098" i="1"/>
  <c r="A1099" i="1"/>
  <c r="B1099" i="1"/>
  <c r="A1100" i="1"/>
  <c r="B1100" i="1"/>
  <c r="A1101" i="1"/>
  <c r="B1101" i="1"/>
  <c r="A1102" i="1"/>
  <c r="B1102" i="1"/>
  <c r="A1103" i="1"/>
  <c r="B1103" i="1"/>
  <c r="A1104" i="1"/>
  <c r="B1104" i="1"/>
  <c r="A1105" i="1"/>
  <c r="B1105" i="1"/>
  <c r="A1106" i="1"/>
  <c r="B1106" i="1"/>
  <c r="A1107" i="1"/>
  <c r="B1107" i="1"/>
  <c r="A1108" i="1"/>
  <c r="B1108" i="1"/>
  <c r="A1109" i="1"/>
  <c r="B1109" i="1"/>
  <c r="A1110" i="1"/>
  <c r="B1110" i="1"/>
  <c r="A1111" i="1"/>
  <c r="B1111" i="1"/>
  <c r="A1112" i="1"/>
  <c r="B1112" i="1"/>
  <c r="A1113" i="1"/>
  <c r="B1113" i="1"/>
  <c r="A1114" i="1"/>
  <c r="B1114" i="1"/>
  <c r="A1115" i="1"/>
  <c r="B1115" i="1"/>
  <c r="A1116" i="1"/>
  <c r="B1116" i="1"/>
  <c r="A1117" i="1"/>
  <c r="A1118" i="1"/>
  <c r="A1119" i="1"/>
  <c r="A1120" i="1"/>
  <c r="B1120" i="1"/>
  <c r="A1121" i="1"/>
  <c r="A1122" i="1"/>
  <c r="B1122" i="1"/>
  <c r="A1123" i="1"/>
  <c r="B1123" i="1"/>
  <c r="A1124" i="1"/>
  <c r="B1124" i="1"/>
  <c r="A1125" i="1"/>
  <c r="B1125" i="1"/>
  <c r="A1126" i="1"/>
  <c r="B1126" i="1"/>
  <c r="A1127" i="1"/>
  <c r="B1127" i="1"/>
  <c r="A1128" i="1"/>
  <c r="B1128" i="1"/>
  <c r="A1129" i="1"/>
  <c r="B1129" i="1"/>
  <c r="A1130" i="1"/>
  <c r="B1130" i="1"/>
  <c r="A1131" i="1"/>
  <c r="B1131" i="1"/>
  <c r="A1132" i="1"/>
  <c r="B1132" i="1"/>
  <c r="A1133" i="1"/>
  <c r="B1133" i="1"/>
  <c r="A1134" i="1"/>
  <c r="B1134" i="1"/>
  <c r="A1135" i="1"/>
  <c r="B1135" i="1"/>
  <c r="A1136" i="1"/>
  <c r="B1136" i="1"/>
  <c r="A1137" i="1"/>
  <c r="B1137" i="1"/>
  <c r="A1138" i="1"/>
  <c r="B1138" i="1"/>
  <c r="A1139" i="1"/>
  <c r="B1139" i="1"/>
  <c r="A1140" i="1"/>
  <c r="B1140" i="1"/>
  <c r="A1141" i="1"/>
  <c r="B1141" i="1"/>
  <c r="A1142" i="1"/>
  <c r="A1143" i="1"/>
  <c r="B1143" i="1"/>
  <c r="A1144" i="1"/>
  <c r="B1144" i="1"/>
  <c r="A1145" i="1"/>
  <c r="A1146" i="1"/>
  <c r="B1146" i="1"/>
  <c r="A1147" i="1"/>
  <c r="B1147" i="1"/>
  <c r="A1148" i="1"/>
  <c r="B1148" i="1"/>
  <c r="A1149" i="1"/>
  <c r="B1149" i="1"/>
  <c r="A1150" i="1"/>
  <c r="B1150" i="1"/>
  <c r="A1151" i="1"/>
  <c r="B1151" i="1"/>
  <c r="A1152" i="1"/>
  <c r="A1153" i="1"/>
  <c r="B1153" i="1"/>
  <c r="A1154" i="1"/>
  <c r="B1154" i="1"/>
  <c r="A1155" i="1"/>
  <c r="B1155" i="1"/>
  <c r="A1156" i="1"/>
  <c r="B1156" i="1"/>
  <c r="A1157" i="1"/>
  <c r="B1157" i="1"/>
  <c r="A1158" i="1"/>
  <c r="B1158" i="1"/>
  <c r="A1159" i="1"/>
  <c r="B1159" i="1"/>
  <c r="A1160" i="1"/>
  <c r="B1160" i="1"/>
  <c r="A1161" i="1"/>
  <c r="B1161" i="1"/>
  <c r="A1162" i="1"/>
  <c r="A1163" i="1"/>
  <c r="B1163" i="1"/>
  <c r="A1164" i="1"/>
  <c r="B1164" i="1"/>
  <c r="A1165" i="1"/>
  <c r="B1165" i="1"/>
  <c r="A1166" i="1"/>
  <c r="B1166" i="1"/>
  <c r="A1167" i="1"/>
  <c r="B1167" i="1"/>
  <c r="A1168" i="1"/>
  <c r="A1169" i="1"/>
  <c r="A1170" i="1"/>
  <c r="B1170" i="1"/>
  <c r="A1171" i="1"/>
  <c r="B1171" i="1"/>
  <c r="A1172" i="1"/>
  <c r="B1172" i="1"/>
  <c r="A1173" i="1"/>
  <c r="A1174" i="1"/>
  <c r="B1174" i="1"/>
  <c r="A1175" i="1"/>
  <c r="B1175" i="1"/>
  <c r="A1176" i="1"/>
  <c r="B1176" i="1"/>
  <c r="A1177" i="1"/>
  <c r="B1177" i="1"/>
  <c r="A1178" i="1"/>
  <c r="A1179" i="1"/>
  <c r="B1179" i="1"/>
  <c r="A1180" i="1"/>
  <c r="B1180" i="1"/>
  <c r="A1181" i="1"/>
  <c r="B1181" i="1"/>
  <c r="A1182" i="1"/>
  <c r="A1183" i="1"/>
  <c r="B1183" i="1"/>
  <c r="A1184" i="1"/>
  <c r="B1184" i="1"/>
  <c r="A1185" i="1"/>
  <c r="B1185" i="1"/>
  <c r="A1186" i="1"/>
  <c r="B1186" i="1"/>
  <c r="A1187" i="1"/>
  <c r="B1187" i="1"/>
  <c r="A1188" i="1"/>
  <c r="B1188" i="1"/>
  <c r="A1189" i="1"/>
  <c r="B1189" i="1"/>
  <c r="A1190" i="1"/>
  <c r="B1190" i="1"/>
  <c r="A1191" i="1"/>
  <c r="A1192" i="1"/>
  <c r="A1193" i="1"/>
  <c r="A1194" i="1"/>
  <c r="B1194" i="1"/>
  <c r="A1195" i="1"/>
  <c r="B1195" i="1"/>
  <c r="A1196" i="1"/>
  <c r="B1196" i="1"/>
  <c r="A1197" i="1"/>
  <c r="B1197" i="1"/>
  <c r="A1198" i="1"/>
  <c r="B1198" i="1"/>
  <c r="A1199" i="1"/>
  <c r="B1199" i="1"/>
  <c r="A1200" i="1"/>
  <c r="B1200" i="1"/>
  <c r="A1201" i="1"/>
  <c r="B1201" i="1"/>
  <c r="A1202" i="1"/>
  <c r="B1202" i="1"/>
  <c r="A1203" i="1"/>
  <c r="A1204" i="1"/>
  <c r="A1205" i="1"/>
  <c r="A1206" i="1"/>
  <c r="A1207" i="1"/>
  <c r="B1207" i="1"/>
  <c r="A1208" i="1"/>
  <c r="B1208" i="1"/>
  <c r="A1209" i="1"/>
  <c r="B1209" i="1"/>
  <c r="A1210" i="1"/>
  <c r="B1210" i="1"/>
  <c r="A1211" i="1"/>
  <c r="A1212" i="1"/>
  <c r="B1212" i="1"/>
  <c r="A1213" i="1"/>
  <c r="B1213" i="1"/>
  <c r="A1214" i="1"/>
  <c r="B1214" i="1"/>
  <c r="A1215" i="1"/>
  <c r="B1215" i="1"/>
  <c r="A1216" i="1"/>
  <c r="B1216" i="1"/>
  <c r="A1217" i="1"/>
  <c r="B1217" i="1"/>
  <c r="A1218" i="1"/>
  <c r="B1218" i="1"/>
  <c r="A1219" i="1"/>
  <c r="A1220" i="1"/>
  <c r="B1220" i="1"/>
  <c r="A1221" i="1"/>
  <c r="B1221" i="1"/>
  <c r="A1222" i="1"/>
  <c r="B1222" i="1"/>
  <c r="A1223" i="1"/>
  <c r="B1223" i="1"/>
  <c r="A1224" i="1"/>
  <c r="B1224" i="1"/>
  <c r="A1225" i="1"/>
  <c r="B1225" i="1"/>
  <c r="A1226" i="1"/>
  <c r="B1226" i="1"/>
  <c r="A1227" i="1"/>
  <c r="B1227" i="1"/>
  <c r="A1228" i="1"/>
  <c r="B1228" i="1"/>
  <c r="A1229" i="1"/>
  <c r="B1229" i="1"/>
  <c r="A1230" i="1"/>
  <c r="B1230" i="1"/>
  <c r="A1231" i="1"/>
  <c r="B1231" i="1"/>
  <c r="A1232" i="1"/>
  <c r="B1232" i="1"/>
  <c r="A1233" i="1"/>
  <c r="B1233" i="1"/>
  <c r="A1234" i="1"/>
  <c r="B1234" i="1"/>
  <c r="A1235" i="1"/>
  <c r="B1235" i="1"/>
  <c r="A1236" i="1"/>
  <c r="B1236" i="1"/>
  <c r="A1237" i="1"/>
  <c r="B1237" i="1"/>
  <c r="A1238" i="1"/>
  <c r="A1239" i="1"/>
  <c r="B1239" i="1"/>
  <c r="A1240" i="1"/>
  <c r="B1240" i="1"/>
  <c r="A1241" i="1"/>
  <c r="B1241" i="1"/>
  <c r="A1242" i="1"/>
  <c r="B1242" i="1"/>
  <c r="A1243" i="1"/>
  <c r="B1243" i="1"/>
  <c r="A1244" i="1"/>
  <c r="B1244" i="1"/>
  <c r="A1245" i="1"/>
  <c r="B1245" i="1"/>
  <c r="A1246" i="1"/>
  <c r="B1246" i="1"/>
  <c r="A1247" i="1"/>
  <c r="B1247" i="1"/>
  <c r="A1248" i="1"/>
  <c r="B1248" i="1"/>
  <c r="A1249" i="1"/>
  <c r="B1249" i="1"/>
  <c r="A1250" i="1"/>
  <c r="A1251" i="1"/>
  <c r="B1251" i="1"/>
  <c r="A1252" i="1"/>
  <c r="B1252" i="1"/>
  <c r="A1253" i="1"/>
  <c r="B1253" i="1"/>
  <c r="A1254" i="1"/>
  <c r="B1254" i="1"/>
  <c r="A1255" i="1"/>
  <c r="B1255" i="1"/>
  <c r="A1256" i="1"/>
  <c r="B1256" i="1"/>
  <c r="A1257" i="1"/>
  <c r="B1257" i="1"/>
  <c r="A1258" i="1"/>
  <c r="A1259" i="1"/>
  <c r="B1259" i="1"/>
  <c r="A1260" i="1"/>
  <c r="B1260" i="1"/>
  <c r="A1261" i="1"/>
  <c r="B1261" i="1"/>
  <c r="A1262" i="1"/>
  <c r="B1262" i="1"/>
  <c r="A1263" i="1"/>
  <c r="A1264" i="1"/>
  <c r="B1264" i="1"/>
  <c r="A1265" i="1"/>
  <c r="A1266" i="1"/>
  <c r="A1267" i="1"/>
  <c r="B1267" i="1"/>
  <c r="A1268" i="1"/>
  <c r="A1269" i="1"/>
  <c r="B1269" i="1"/>
  <c r="A1270" i="1"/>
  <c r="A1271" i="1"/>
  <c r="B1271" i="1"/>
  <c r="A1272" i="1"/>
  <c r="A1273" i="1"/>
  <c r="B1273" i="1"/>
  <c r="A1274" i="1"/>
  <c r="B1274" i="1"/>
  <c r="A1275" i="1"/>
  <c r="B1275" i="1"/>
  <c r="A1276" i="1"/>
  <c r="B1276" i="1"/>
  <c r="A1277" i="1"/>
  <c r="B1277" i="1"/>
  <c r="A1278" i="1"/>
  <c r="A1279" i="1"/>
  <c r="B1279" i="1"/>
  <c r="A1280" i="1"/>
  <c r="B1280" i="1"/>
  <c r="A1281" i="1"/>
  <c r="B1281" i="1"/>
  <c r="A1282" i="1"/>
  <c r="B1282" i="1"/>
  <c r="A1283" i="1"/>
  <c r="B1283" i="1"/>
  <c r="A1284" i="1"/>
  <c r="A1285" i="1"/>
  <c r="B1285" i="1"/>
  <c r="A1286" i="1"/>
  <c r="A1287" i="1"/>
  <c r="B1287" i="1"/>
  <c r="A1288" i="1"/>
  <c r="B1288" i="1"/>
  <c r="A1289" i="1"/>
  <c r="B1289" i="1"/>
  <c r="A1290" i="1"/>
  <c r="B1290" i="1"/>
  <c r="A1291" i="1"/>
  <c r="A1292" i="1"/>
  <c r="A1293" i="1"/>
  <c r="A1294" i="1"/>
  <c r="B1294" i="1"/>
  <c r="A1295" i="1"/>
  <c r="B1295" i="1"/>
  <c r="A1296" i="1"/>
  <c r="B1296" i="1"/>
  <c r="A1297" i="1"/>
  <c r="A1298" i="1"/>
  <c r="A1299" i="1"/>
  <c r="A1300" i="1"/>
  <c r="B1300" i="1"/>
  <c r="A1301" i="1"/>
  <c r="B1301" i="1"/>
  <c r="A1302" i="1"/>
  <c r="B1302" i="1"/>
  <c r="A1303" i="1"/>
  <c r="B1303" i="1"/>
  <c r="A1304" i="1"/>
  <c r="B1304" i="1"/>
  <c r="A1305" i="1"/>
  <c r="A1306" i="1"/>
  <c r="B1306" i="1"/>
  <c r="A1307" i="1"/>
  <c r="A1308" i="1"/>
  <c r="B1308" i="1"/>
  <c r="A1309" i="1"/>
  <c r="B1309" i="1"/>
  <c r="A1310" i="1"/>
  <c r="B1310" i="1"/>
  <c r="A1311" i="1"/>
  <c r="B1311" i="1"/>
  <c r="A1312" i="1"/>
  <c r="B1312" i="1"/>
  <c r="A1313" i="1"/>
  <c r="B1313" i="1"/>
  <c r="A1314" i="1"/>
  <c r="B1314" i="1"/>
  <c r="A1315" i="1"/>
  <c r="A1316" i="1"/>
  <c r="B1316" i="1"/>
  <c r="A1317" i="1"/>
  <c r="B1317" i="1"/>
  <c r="A1318" i="1"/>
  <c r="B1318" i="1"/>
  <c r="A1319" i="1"/>
  <c r="A1320" i="1"/>
  <c r="A1321" i="1"/>
  <c r="B1321" i="1"/>
  <c r="A1322" i="1"/>
  <c r="A1323" i="1"/>
  <c r="B1323" i="1"/>
  <c r="A1324" i="1"/>
  <c r="B1324" i="1"/>
  <c r="A1325" i="1"/>
  <c r="B1325" i="1"/>
  <c r="A1326" i="1"/>
  <c r="B1326" i="1"/>
  <c r="A1327" i="1"/>
  <c r="B1327" i="1"/>
  <c r="A1328" i="1"/>
  <c r="A1329" i="1"/>
  <c r="A1330" i="1"/>
  <c r="A1331" i="1"/>
  <c r="A1332" i="1"/>
  <c r="A1333" i="1"/>
  <c r="A1334" i="1"/>
  <c r="B1334" i="1"/>
  <c r="A1335" i="1"/>
  <c r="B1335" i="1"/>
  <c r="A1336" i="1"/>
  <c r="B1336" i="1"/>
  <c r="A1337" i="1"/>
  <c r="B1337" i="1"/>
  <c r="A1338" i="1"/>
  <c r="B1338" i="1"/>
  <c r="A1339" i="1"/>
  <c r="B1339" i="1"/>
  <c r="A1340" i="1"/>
  <c r="B1340" i="1"/>
  <c r="A1341" i="1"/>
  <c r="B1341" i="1"/>
  <c r="A1342" i="1"/>
  <c r="B1342" i="1"/>
  <c r="A1343" i="1"/>
  <c r="B1343" i="1"/>
  <c r="A1344" i="1"/>
  <c r="B1344" i="1"/>
  <c r="A1345" i="1"/>
  <c r="B1345" i="1"/>
  <c r="A1346" i="1"/>
  <c r="A1347" i="1"/>
  <c r="B1347" i="1"/>
  <c r="A1348" i="1"/>
  <c r="B1348" i="1"/>
  <c r="A1349" i="1"/>
  <c r="B1349" i="1"/>
  <c r="A1350" i="1"/>
  <c r="B1350" i="1"/>
  <c r="A1351" i="1"/>
  <c r="B1351" i="1"/>
  <c r="A1352" i="1"/>
  <c r="B1352" i="1"/>
  <c r="A1353" i="1"/>
  <c r="B1353" i="1"/>
  <c r="A1354" i="1"/>
  <c r="A1355" i="1"/>
  <c r="B1355" i="1"/>
  <c r="A1356" i="1"/>
  <c r="A1357" i="1"/>
  <c r="B1357" i="1"/>
  <c r="A1358" i="1"/>
  <c r="B1358" i="1"/>
  <c r="A1359" i="1"/>
  <c r="B1359" i="1"/>
  <c r="A1360" i="1"/>
  <c r="B1360" i="1"/>
  <c r="A1361" i="1"/>
  <c r="B1361" i="1"/>
  <c r="A1362" i="1"/>
  <c r="B1362" i="1"/>
  <c r="A1363" i="1"/>
  <c r="B1363" i="1"/>
  <c r="A1364" i="1"/>
  <c r="B1364" i="1"/>
  <c r="A1365" i="1"/>
  <c r="A1366" i="1"/>
  <c r="B1366" i="1"/>
  <c r="A1367" i="1"/>
  <c r="B1367" i="1"/>
  <c r="A1368" i="1"/>
  <c r="B1368" i="1"/>
  <c r="A1369" i="1"/>
  <c r="B1369" i="1"/>
  <c r="A1370" i="1"/>
  <c r="B1370" i="1"/>
  <c r="A1371" i="1"/>
  <c r="B1371" i="1"/>
  <c r="A1372" i="1"/>
  <c r="A1373" i="1"/>
  <c r="B1373" i="1"/>
  <c r="A1374" i="1"/>
  <c r="B1374" i="1"/>
  <c r="A1375" i="1"/>
  <c r="B1375" i="1"/>
  <c r="A1376" i="1"/>
  <c r="B1376" i="1"/>
  <c r="A1377" i="1"/>
  <c r="B1377" i="1"/>
  <c r="A1378" i="1"/>
  <c r="B1378" i="1"/>
  <c r="A1379" i="1"/>
  <c r="B1379" i="1"/>
  <c r="A1380" i="1"/>
  <c r="B1380" i="1"/>
  <c r="A1381" i="1"/>
  <c r="A1382" i="1"/>
  <c r="B1382" i="1"/>
  <c r="A1383" i="1"/>
  <c r="B1383" i="1"/>
  <c r="A1384" i="1"/>
  <c r="B1384" i="1"/>
  <c r="A1385" i="1"/>
  <c r="B1385" i="1"/>
  <c r="A1386" i="1"/>
  <c r="B1386" i="1"/>
  <c r="A1387" i="1"/>
  <c r="B1387" i="1"/>
  <c r="A1388" i="1"/>
  <c r="B1388" i="1"/>
  <c r="A1389" i="1"/>
  <c r="B1389" i="1"/>
  <c r="A1390" i="1"/>
  <c r="B1390" i="1"/>
  <c r="A1391" i="1"/>
  <c r="B1391" i="1"/>
  <c r="A1392" i="1"/>
  <c r="A1393" i="1"/>
  <c r="A1394" i="1"/>
  <c r="B1394" i="1"/>
  <c r="A1395" i="1"/>
  <c r="B1395" i="1"/>
  <c r="A1396" i="1"/>
  <c r="A1397" i="1"/>
  <c r="B1397" i="1"/>
  <c r="A1398" i="1"/>
  <c r="A1399" i="1"/>
  <c r="B1399" i="1"/>
  <c r="A1400" i="1"/>
  <c r="B1400" i="1"/>
  <c r="A1401" i="1"/>
  <c r="B1401" i="1"/>
  <c r="A1402" i="1"/>
  <c r="B1402" i="1"/>
  <c r="A1403" i="1"/>
  <c r="B1403" i="1"/>
  <c r="A1404" i="1"/>
  <c r="B1404" i="1"/>
  <c r="A1405" i="1"/>
  <c r="A1406" i="1"/>
  <c r="B1406" i="1"/>
  <c r="A1407" i="1"/>
  <c r="B1407" i="1"/>
  <c r="A1408" i="1"/>
  <c r="B1408" i="1"/>
  <c r="A1409" i="1"/>
  <c r="B1409" i="1"/>
  <c r="A1410" i="1"/>
  <c r="B1410" i="1"/>
  <c r="A1411" i="1"/>
  <c r="B1411" i="1"/>
  <c r="A1412" i="1"/>
  <c r="A1413" i="1"/>
  <c r="B1413" i="1"/>
  <c r="A1414" i="1"/>
  <c r="A1415" i="1"/>
  <c r="A1416" i="1"/>
  <c r="B1416" i="1"/>
  <c r="A1417" i="1"/>
  <c r="B1417" i="1"/>
  <c r="A1418" i="1"/>
  <c r="B1418" i="1"/>
  <c r="A1419" i="1"/>
  <c r="B1419" i="1"/>
  <c r="A1420" i="1"/>
  <c r="B1420" i="1"/>
  <c r="A1421" i="1"/>
  <c r="B1421" i="1"/>
  <c r="A1422" i="1"/>
  <c r="B1422" i="1"/>
  <c r="A1423" i="1"/>
  <c r="B1423" i="1"/>
  <c r="A1424" i="1"/>
  <c r="B1424" i="1"/>
  <c r="A1425" i="1"/>
  <c r="B1425" i="1"/>
  <c r="A1426" i="1"/>
  <c r="B1426" i="1"/>
  <c r="A1427" i="1"/>
  <c r="B1427" i="1"/>
  <c r="A1428" i="1"/>
  <c r="B1428" i="1"/>
  <c r="A1429" i="1"/>
  <c r="B1429" i="1"/>
  <c r="A1430" i="1"/>
  <c r="B1430" i="1"/>
  <c r="A1431" i="1"/>
  <c r="B1431" i="1"/>
  <c r="A1432" i="1"/>
  <c r="B1432" i="1"/>
  <c r="A1433" i="1"/>
  <c r="B1433" i="1"/>
  <c r="A1434" i="1"/>
  <c r="A1435" i="1"/>
  <c r="A1436" i="1"/>
  <c r="B1436" i="1"/>
  <c r="A1437" i="1"/>
  <c r="B1437" i="1"/>
  <c r="A1438" i="1"/>
  <c r="B1438" i="1"/>
  <c r="A1439" i="1"/>
  <c r="A1440" i="1"/>
  <c r="B1440" i="1"/>
  <c r="A1441" i="1"/>
  <c r="B1441" i="1"/>
  <c r="A1442" i="1"/>
  <c r="A1443" i="1"/>
  <c r="B1443" i="1"/>
  <c r="A1444" i="1"/>
  <c r="B1444" i="1"/>
  <c r="A1445" i="1"/>
  <c r="A1446" i="1"/>
  <c r="B1446" i="1"/>
  <c r="A1447" i="1"/>
  <c r="B1447" i="1"/>
  <c r="A1448" i="1"/>
  <c r="B1448" i="1"/>
  <c r="A1449" i="1"/>
  <c r="B1449" i="1"/>
  <c r="A1450" i="1"/>
  <c r="B1450" i="1"/>
  <c r="A1451" i="1"/>
  <c r="B1451" i="1"/>
  <c r="A1452" i="1"/>
  <c r="A1453" i="1"/>
  <c r="B1453" i="1"/>
  <c r="A1454" i="1"/>
  <c r="B1454" i="1"/>
  <c r="A1455" i="1"/>
  <c r="A1456" i="1"/>
  <c r="A1457" i="1"/>
  <c r="B1457" i="1"/>
  <c r="A1458" i="1"/>
  <c r="B1458" i="1"/>
  <c r="A1459" i="1"/>
  <c r="B1459" i="1"/>
  <c r="A1460" i="1"/>
  <c r="B1460" i="1"/>
  <c r="A1461" i="1"/>
  <c r="B1461" i="1"/>
  <c r="A1462" i="1"/>
  <c r="B1462" i="1"/>
  <c r="A1463" i="1"/>
  <c r="B1463" i="1"/>
  <c r="A1464" i="1"/>
  <c r="B1464" i="1"/>
  <c r="A1465" i="1"/>
  <c r="B1465" i="1"/>
  <c r="A1466" i="1"/>
  <c r="B1466" i="1"/>
  <c r="A1467" i="1"/>
  <c r="B1467" i="1"/>
  <c r="A1468" i="1"/>
  <c r="B1468" i="1"/>
  <c r="A1469" i="1"/>
  <c r="B1469" i="1"/>
  <c r="A1470" i="1"/>
  <c r="A1471" i="1"/>
  <c r="B1471" i="1"/>
  <c r="A1472" i="1"/>
  <c r="B1472" i="1"/>
  <c r="A1473" i="1"/>
  <c r="B1473" i="1"/>
  <c r="A1474" i="1"/>
  <c r="B1474" i="1"/>
  <c r="A1475" i="1"/>
  <c r="B1475" i="1"/>
  <c r="A1476" i="1"/>
  <c r="B1476" i="1"/>
  <c r="A1477" i="1"/>
  <c r="B1477" i="1"/>
  <c r="A1478" i="1"/>
  <c r="A1479" i="1"/>
  <c r="A1480" i="1"/>
  <c r="B1480" i="1"/>
  <c r="A1481" i="1"/>
  <c r="A1482" i="1"/>
  <c r="B1482" i="1"/>
  <c r="A1483" i="1"/>
  <c r="A1484" i="1"/>
  <c r="B1484" i="1"/>
  <c r="A1485" i="1"/>
  <c r="B1485" i="1"/>
  <c r="A1486" i="1"/>
  <c r="B1486" i="1"/>
  <c r="A1487" i="1"/>
  <c r="B1487" i="1"/>
  <c r="A1488" i="1"/>
  <c r="B1488" i="1"/>
  <c r="A1489" i="1"/>
  <c r="B1489" i="1"/>
  <c r="A1490" i="1"/>
  <c r="B1490" i="1"/>
  <c r="A1491" i="1"/>
  <c r="B1491" i="1"/>
  <c r="A1492" i="1"/>
  <c r="B1492" i="1"/>
  <c r="A1493" i="1"/>
  <c r="B1493" i="1"/>
  <c r="A1494" i="1"/>
  <c r="B1494" i="1"/>
  <c r="A1495" i="1"/>
  <c r="A1496" i="1"/>
  <c r="A1497" i="1"/>
  <c r="A1498" i="1"/>
  <c r="A1499" i="1"/>
  <c r="A1500" i="1"/>
  <c r="A1501" i="1"/>
  <c r="A1502" i="1"/>
  <c r="B1502" i="1"/>
  <c r="A1503" i="1"/>
  <c r="B1503" i="1"/>
  <c r="A1504" i="1"/>
  <c r="B1504" i="1"/>
  <c r="A1505" i="1"/>
  <c r="A1506" i="1"/>
  <c r="B1506" i="1"/>
  <c r="A1507" i="1"/>
  <c r="B1507" i="1"/>
  <c r="A1508" i="1"/>
  <c r="A1509" i="1"/>
  <c r="B1509" i="1"/>
  <c r="A1510" i="1"/>
  <c r="A1511" i="1"/>
  <c r="B1511" i="1"/>
  <c r="A1512" i="1"/>
  <c r="B1512" i="1"/>
  <c r="A1513" i="1"/>
  <c r="A1514" i="1"/>
  <c r="B1514" i="1"/>
  <c r="A1515" i="1"/>
  <c r="B1515" i="1"/>
  <c r="A1516" i="1"/>
  <c r="A1517" i="1"/>
  <c r="B1517" i="1"/>
  <c r="A1518" i="1"/>
  <c r="B1518" i="1"/>
  <c r="A1519" i="1"/>
  <c r="B1519" i="1"/>
  <c r="A1520" i="1"/>
  <c r="B1520" i="1"/>
  <c r="A1521" i="1"/>
  <c r="B1521" i="1"/>
  <c r="A1522" i="1"/>
  <c r="B1522" i="1"/>
  <c r="A1523" i="1"/>
  <c r="B1523" i="1"/>
  <c r="A1524" i="1"/>
  <c r="B1524" i="1"/>
  <c r="A1525" i="1"/>
  <c r="B1525" i="1"/>
  <c r="A1526" i="1"/>
  <c r="B1526" i="1"/>
  <c r="A1527" i="1"/>
  <c r="B1527" i="1"/>
  <c r="A1528" i="1"/>
  <c r="B1528" i="1"/>
  <c r="A1529" i="1"/>
  <c r="B1529" i="1"/>
  <c r="A1530" i="1"/>
  <c r="B1530" i="1"/>
  <c r="A1531" i="1"/>
  <c r="B1531" i="1"/>
  <c r="A1532" i="1"/>
  <c r="B1532" i="1"/>
  <c r="A1533" i="1"/>
  <c r="B1533" i="1"/>
  <c r="A1534" i="1"/>
  <c r="B1534" i="1"/>
  <c r="A1535" i="1"/>
  <c r="B1535" i="1"/>
  <c r="A1536" i="1"/>
  <c r="B1536" i="1"/>
  <c r="A1537" i="1"/>
  <c r="B1537" i="1"/>
  <c r="A1538" i="1"/>
  <c r="B1538" i="1"/>
  <c r="A1539" i="1"/>
  <c r="B1539" i="1"/>
  <c r="A1540" i="1"/>
  <c r="B1540" i="1"/>
  <c r="A1541" i="1"/>
  <c r="B1541" i="1"/>
  <c r="A1542" i="1"/>
  <c r="B1542" i="1"/>
  <c r="A1543" i="1"/>
  <c r="B1543" i="1"/>
  <c r="A1544" i="1"/>
  <c r="B1544" i="1"/>
  <c r="A1545" i="1"/>
  <c r="B1545" i="1"/>
  <c r="A1546" i="1"/>
  <c r="B1546" i="1"/>
  <c r="A1547" i="1"/>
  <c r="B1547" i="1"/>
  <c r="A1548" i="1"/>
  <c r="B1548" i="1"/>
  <c r="A1549" i="1"/>
  <c r="B1549" i="1"/>
  <c r="A1550" i="1"/>
  <c r="B1550" i="1"/>
  <c r="A1551" i="1"/>
  <c r="B1551" i="1"/>
  <c r="A1552" i="1"/>
  <c r="A1553" i="1"/>
  <c r="B1553" i="1"/>
  <c r="A1554" i="1"/>
  <c r="A1555" i="1"/>
  <c r="B1555" i="1"/>
  <c r="A1556" i="1"/>
  <c r="B1556" i="1"/>
  <c r="A1557" i="1"/>
  <c r="B1557" i="1"/>
  <c r="A1558" i="1"/>
  <c r="B1558" i="1"/>
  <c r="A1559" i="1"/>
  <c r="A1560" i="1"/>
  <c r="B1560" i="1"/>
  <c r="A1561" i="1"/>
  <c r="B1561" i="1"/>
  <c r="A1562" i="1"/>
  <c r="B1562" i="1"/>
  <c r="A1563" i="1"/>
  <c r="A1564" i="1"/>
  <c r="A1565" i="1"/>
  <c r="B1565" i="1"/>
  <c r="A1566" i="1"/>
  <c r="A1567" i="1"/>
  <c r="B1567" i="1"/>
  <c r="A1568" i="1"/>
  <c r="A1569" i="1"/>
  <c r="A1570" i="1"/>
  <c r="B1570" i="1"/>
  <c r="A1571" i="1"/>
  <c r="B1571" i="1"/>
  <c r="A1572" i="1"/>
  <c r="B1572" i="1"/>
  <c r="A1573" i="1"/>
  <c r="B1573" i="1"/>
  <c r="A1574" i="1"/>
  <c r="B1574" i="1"/>
  <c r="A1575" i="1"/>
  <c r="B1575" i="1"/>
  <c r="A1576" i="1"/>
  <c r="A1577" i="1"/>
  <c r="B1577" i="1"/>
  <c r="A1578" i="1"/>
  <c r="B1578" i="1"/>
  <c r="A1579" i="1"/>
  <c r="B1579" i="1"/>
  <c r="A1580" i="1"/>
  <c r="B1580" i="1"/>
  <c r="A1581" i="1"/>
  <c r="A1582" i="1"/>
  <c r="B1582" i="1"/>
  <c r="A1583" i="1"/>
  <c r="B1583" i="1"/>
  <c r="A1584" i="1"/>
  <c r="A1585" i="1"/>
  <c r="A1586" i="1"/>
  <c r="A1587" i="1"/>
  <c r="A1588" i="1"/>
  <c r="B1588" i="1"/>
  <c r="A1589" i="1"/>
  <c r="B1589" i="1"/>
  <c r="A1590" i="1"/>
  <c r="B1590" i="1"/>
  <c r="A1591" i="1"/>
  <c r="B1591" i="1"/>
  <c r="A1592" i="1"/>
  <c r="A1593" i="1"/>
  <c r="B1593" i="1"/>
  <c r="A1594" i="1"/>
  <c r="B1594" i="1"/>
  <c r="A1595" i="1"/>
  <c r="B1595" i="1"/>
  <c r="A1596" i="1"/>
  <c r="B1596" i="1"/>
  <c r="A1597" i="1"/>
  <c r="B1597" i="1"/>
  <c r="A1598" i="1"/>
  <c r="A1599" i="1"/>
  <c r="B1599" i="1"/>
  <c r="A1600" i="1"/>
  <c r="B1600" i="1"/>
  <c r="A1601" i="1"/>
  <c r="B1601" i="1"/>
  <c r="A1602" i="1"/>
  <c r="A1603" i="1"/>
  <c r="B1603" i="1"/>
  <c r="A1604" i="1"/>
  <c r="B1604" i="1"/>
  <c r="A1605" i="1"/>
  <c r="A1606" i="1"/>
  <c r="A1607" i="1"/>
  <c r="B1607" i="1"/>
  <c r="A1608" i="1"/>
  <c r="A1609" i="1"/>
  <c r="B1609" i="1"/>
  <c r="A1610" i="1"/>
  <c r="B1610" i="1"/>
  <c r="A1611" i="1"/>
  <c r="B1611" i="1"/>
  <c r="A1612" i="1"/>
  <c r="B1612" i="1"/>
  <c r="A1613" i="1"/>
  <c r="B1613" i="1"/>
  <c r="A1614" i="1"/>
  <c r="B1614" i="1"/>
  <c r="A1615" i="1"/>
  <c r="B1615" i="1"/>
  <c r="A1616" i="1"/>
  <c r="B1616" i="1"/>
  <c r="A1617" i="1"/>
  <c r="A1618" i="1"/>
  <c r="B1618" i="1"/>
  <c r="A1619" i="1"/>
  <c r="B1619" i="1"/>
  <c r="A1620" i="1"/>
  <c r="B1620" i="1"/>
  <c r="A1621" i="1"/>
  <c r="B1621" i="1"/>
  <c r="A1622" i="1"/>
  <c r="A1623" i="1"/>
  <c r="B1623" i="1"/>
  <c r="A1624" i="1"/>
  <c r="B1624" i="1"/>
  <c r="A1625" i="1"/>
  <c r="B1625" i="1"/>
  <c r="A1626" i="1"/>
  <c r="B1626" i="1"/>
  <c r="A1627" i="1"/>
  <c r="B1627" i="1"/>
  <c r="A1628" i="1"/>
  <c r="B1628" i="1"/>
  <c r="A1629" i="1"/>
  <c r="B1629" i="1"/>
  <c r="A1630" i="1"/>
  <c r="A1631" i="1"/>
  <c r="A1632" i="1"/>
  <c r="B1632" i="1"/>
  <c r="A1633" i="1"/>
  <c r="B1633" i="1"/>
  <c r="A1634" i="1"/>
  <c r="B1634" i="1"/>
  <c r="A1635" i="1"/>
  <c r="B1635" i="1"/>
  <c r="A1636" i="1"/>
  <c r="B1636" i="1"/>
  <c r="A1637" i="1"/>
  <c r="B1637" i="1"/>
  <c r="A1638" i="1"/>
  <c r="A1639" i="1"/>
  <c r="B1639" i="1"/>
  <c r="A1640" i="1"/>
  <c r="A1641" i="1"/>
  <c r="B1641" i="1"/>
  <c r="A1642" i="1"/>
  <c r="B1642" i="1"/>
  <c r="A1643" i="1"/>
  <c r="B1643" i="1"/>
  <c r="A1644" i="1"/>
  <c r="A1645" i="1"/>
  <c r="A1646" i="1"/>
  <c r="A1647" i="1"/>
  <c r="A1648" i="1"/>
  <c r="B1648" i="1"/>
  <c r="A1649" i="1"/>
  <c r="B1649" i="1"/>
  <c r="A1650" i="1"/>
  <c r="B1650" i="1"/>
  <c r="A1651" i="1"/>
  <c r="B1651" i="1"/>
  <c r="A1652" i="1"/>
  <c r="B1652" i="1"/>
  <c r="A1653" i="1"/>
  <c r="B1653" i="1"/>
  <c r="A1654" i="1"/>
  <c r="A1655" i="1"/>
  <c r="B1655" i="1"/>
  <c r="A1656" i="1"/>
  <c r="B1656" i="1"/>
  <c r="A1657" i="1"/>
  <c r="B1657" i="1"/>
  <c r="A1658" i="1"/>
  <c r="B1658" i="1"/>
  <c r="A1659" i="1"/>
  <c r="B1659" i="1"/>
  <c r="A1660" i="1"/>
  <c r="B1660" i="1"/>
  <c r="A1661" i="1"/>
  <c r="B1661" i="1"/>
  <c r="A1662" i="1"/>
  <c r="B1662" i="1"/>
  <c r="A1663" i="1"/>
  <c r="B1663" i="1"/>
  <c r="A1664" i="1"/>
  <c r="B1664" i="1"/>
  <c r="A1665" i="1"/>
  <c r="B1665" i="1"/>
  <c r="A1666" i="1"/>
  <c r="B1666" i="1"/>
  <c r="A1667" i="1"/>
  <c r="B1667" i="1"/>
  <c r="A1668" i="1"/>
  <c r="A1669" i="1"/>
  <c r="B1669" i="1"/>
  <c r="A1670" i="1"/>
  <c r="B1670" i="1"/>
  <c r="A1671" i="1"/>
  <c r="B1671" i="1"/>
  <c r="A1672" i="1"/>
  <c r="B1672" i="1"/>
  <c r="A1673" i="1"/>
  <c r="B1673" i="1"/>
  <c r="A1674" i="1"/>
  <c r="B1674" i="1"/>
  <c r="A1675" i="1"/>
  <c r="A1676" i="1"/>
  <c r="B1676" i="1"/>
  <c r="A1677" i="1"/>
  <c r="B1677" i="1"/>
  <c r="A1678" i="1"/>
  <c r="A1679" i="1"/>
  <c r="B1679" i="1"/>
  <c r="A1680" i="1"/>
  <c r="B1680" i="1"/>
  <c r="A1681" i="1"/>
  <c r="A1682" i="1"/>
  <c r="A1683" i="1"/>
  <c r="B1683" i="1"/>
  <c r="A1684" i="1"/>
  <c r="B1684" i="1"/>
  <c r="A1685" i="1"/>
  <c r="A1686" i="1"/>
  <c r="A1687" i="1"/>
  <c r="A1688" i="1"/>
  <c r="B1688" i="1"/>
  <c r="A1689" i="1"/>
  <c r="B1689" i="1"/>
  <c r="A1690" i="1"/>
  <c r="B1690" i="1"/>
  <c r="A1691" i="1"/>
  <c r="B1691" i="1"/>
  <c r="A1692" i="1"/>
  <c r="A1693" i="1"/>
  <c r="A1694" i="1"/>
  <c r="B1694" i="1"/>
  <c r="A1695" i="1"/>
  <c r="B1695" i="1"/>
  <c r="A1696" i="1"/>
  <c r="B1696" i="1"/>
  <c r="A1697" i="1"/>
  <c r="B1697" i="1"/>
  <c r="A1698" i="1"/>
  <c r="B1698" i="1"/>
  <c r="A1699" i="1"/>
  <c r="B1699" i="1"/>
  <c r="A1700" i="1"/>
  <c r="B1700" i="1"/>
  <c r="A1701" i="1"/>
  <c r="B1701" i="1"/>
  <c r="A1702" i="1"/>
  <c r="B1702" i="1"/>
  <c r="A1703" i="1"/>
  <c r="B1703" i="1"/>
  <c r="A1704" i="1"/>
  <c r="B1704" i="1"/>
  <c r="A1705" i="1"/>
  <c r="B1705" i="1"/>
  <c r="A1706" i="1"/>
  <c r="B1706" i="1"/>
  <c r="A1707" i="1"/>
  <c r="A1708" i="1"/>
  <c r="B1708" i="1"/>
  <c r="A1709" i="1"/>
  <c r="B1709" i="1"/>
  <c r="A1710" i="1"/>
  <c r="B1710" i="1"/>
  <c r="A1711" i="1"/>
  <c r="B1711" i="1"/>
  <c r="A1712" i="1"/>
  <c r="B1712" i="1"/>
  <c r="A1713" i="1"/>
  <c r="A1714" i="1"/>
  <c r="B1714" i="1"/>
  <c r="A1715" i="1"/>
  <c r="B1715" i="1"/>
  <c r="A1716" i="1"/>
  <c r="B1716" i="1"/>
  <c r="A1717" i="1"/>
  <c r="B1717" i="1"/>
  <c r="A1718" i="1"/>
  <c r="B1718" i="1"/>
  <c r="A1719" i="1"/>
  <c r="B1719" i="1"/>
  <c r="A1720" i="1"/>
  <c r="A1721" i="1"/>
  <c r="A1722" i="1"/>
  <c r="B1722" i="1"/>
  <c r="A1723" i="1"/>
  <c r="A1724" i="1"/>
  <c r="B1724" i="1"/>
  <c r="A1725" i="1"/>
  <c r="B1725" i="1"/>
  <c r="A1726" i="1"/>
  <c r="B1726" i="1"/>
  <c r="A1727" i="1"/>
  <c r="B1727" i="1"/>
  <c r="A1728" i="1"/>
  <c r="B1728" i="1"/>
  <c r="A1729" i="1"/>
  <c r="B1729" i="1"/>
  <c r="A1730" i="1"/>
  <c r="B1730" i="1"/>
  <c r="A1731" i="1"/>
  <c r="B1731" i="1"/>
  <c r="A1732" i="1"/>
  <c r="A1733" i="1"/>
  <c r="A1734" i="1"/>
  <c r="B1734" i="1"/>
  <c r="A1735" i="1"/>
  <c r="B1735" i="1"/>
  <c r="A1736" i="1"/>
  <c r="B1736" i="1"/>
  <c r="A1737" i="1"/>
  <c r="B1737" i="1"/>
  <c r="A1738" i="1"/>
  <c r="B1738" i="1"/>
  <c r="A1739" i="1"/>
  <c r="B1739" i="1"/>
  <c r="A1740" i="1"/>
  <c r="B1740" i="1"/>
  <c r="A1741" i="1"/>
  <c r="B1741" i="1"/>
  <c r="A1742" i="1"/>
  <c r="A1743" i="1"/>
  <c r="A1744" i="1"/>
  <c r="B1744" i="1"/>
  <c r="A1745" i="1"/>
  <c r="B1745" i="1"/>
  <c r="A1746" i="1"/>
  <c r="B1746" i="1"/>
  <c r="A1747" i="1"/>
  <c r="B1747" i="1"/>
  <c r="A1748" i="1"/>
  <c r="B1748" i="1"/>
  <c r="A1749" i="1"/>
  <c r="A1750" i="1"/>
  <c r="B1750" i="1"/>
  <c r="A1751" i="1"/>
  <c r="B1751" i="1"/>
  <c r="A1752" i="1"/>
  <c r="B1752" i="1"/>
  <c r="A1753" i="1"/>
  <c r="B1753" i="1"/>
  <c r="A1754" i="1"/>
  <c r="B1754" i="1"/>
  <c r="A1755" i="1"/>
  <c r="B1755" i="1"/>
  <c r="A1756" i="1"/>
  <c r="B1756" i="1"/>
  <c r="A1757" i="1"/>
  <c r="A1758" i="1"/>
  <c r="B1758" i="1"/>
  <c r="A1759" i="1"/>
  <c r="B1759" i="1"/>
  <c r="A1760" i="1"/>
  <c r="B1760" i="1"/>
  <c r="A1761" i="1"/>
  <c r="B1761" i="1"/>
  <c r="A1762" i="1"/>
  <c r="B1762" i="1"/>
  <c r="A1763" i="1"/>
  <c r="B1763" i="1"/>
  <c r="A1764" i="1"/>
  <c r="B1764" i="1"/>
  <c r="A1765" i="1"/>
  <c r="B1765" i="1"/>
  <c r="A1766" i="1"/>
  <c r="B1766" i="1"/>
  <c r="A1767" i="1"/>
  <c r="B1767" i="1"/>
  <c r="A1768" i="1"/>
  <c r="B1768" i="1"/>
  <c r="A1769" i="1"/>
  <c r="A1770" i="1"/>
  <c r="B1770" i="1"/>
  <c r="A1771" i="1"/>
  <c r="B1771" i="1"/>
  <c r="A1772" i="1"/>
  <c r="B1772" i="1"/>
  <c r="A1773" i="1"/>
  <c r="B1773" i="1"/>
  <c r="A1774" i="1"/>
  <c r="B1774" i="1"/>
  <c r="A1775" i="1"/>
  <c r="B1775" i="1"/>
  <c r="A1776" i="1"/>
  <c r="B1776" i="1"/>
  <c r="A1777" i="1"/>
  <c r="B1777" i="1"/>
  <c r="A1778" i="1"/>
  <c r="B1778" i="1"/>
  <c r="A1779" i="1"/>
  <c r="B1779" i="1"/>
  <c r="A1780" i="1"/>
  <c r="B1780" i="1"/>
  <c r="A1781" i="1"/>
  <c r="B1781" i="1"/>
  <c r="A1782" i="1"/>
  <c r="B1782" i="1"/>
  <c r="A1783" i="1"/>
  <c r="B1783" i="1"/>
  <c r="A1784" i="1"/>
  <c r="A1785" i="1"/>
  <c r="B1785" i="1"/>
  <c r="A1786" i="1"/>
  <c r="B1786" i="1"/>
  <c r="A1787" i="1"/>
  <c r="A1788" i="1"/>
  <c r="B1788" i="1"/>
  <c r="A1789" i="1"/>
  <c r="B1789" i="1"/>
  <c r="A1790" i="1"/>
  <c r="B1790" i="1"/>
  <c r="A1791" i="1"/>
  <c r="B1791" i="1"/>
  <c r="A1792" i="1"/>
  <c r="B1792" i="1"/>
  <c r="A1793" i="1"/>
  <c r="B1793" i="1"/>
  <c r="A1794" i="1"/>
  <c r="B1794" i="1"/>
  <c r="A1795" i="1"/>
  <c r="B1795" i="1"/>
  <c r="A1796" i="1"/>
  <c r="B1796" i="1"/>
  <c r="A1797" i="1"/>
  <c r="B1797" i="1"/>
  <c r="A1798" i="1"/>
  <c r="B1798" i="1"/>
  <c r="A1799" i="1"/>
  <c r="B1799" i="1"/>
  <c r="A1800" i="1"/>
  <c r="B1800" i="1"/>
  <c r="A1801" i="1"/>
  <c r="B1801" i="1"/>
  <c r="A1802" i="1"/>
  <c r="B1802" i="1"/>
  <c r="A1803" i="1"/>
  <c r="B1803" i="1"/>
  <c r="A1804" i="1"/>
  <c r="B1804" i="1"/>
  <c r="A1805" i="1"/>
  <c r="B1805" i="1"/>
  <c r="A1806" i="1"/>
  <c r="B1806" i="1"/>
  <c r="A1807" i="1"/>
  <c r="B1807" i="1"/>
  <c r="A1808" i="1"/>
  <c r="A1809" i="1"/>
  <c r="B1809" i="1"/>
  <c r="A1810" i="1"/>
  <c r="B1810" i="1"/>
  <c r="A1811" i="1"/>
  <c r="B1811" i="1"/>
  <c r="A1812" i="1"/>
  <c r="B1812" i="1"/>
  <c r="A1813" i="1"/>
  <c r="B1813" i="1"/>
  <c r="A1814" i="1"/>
  <c r="B1814" i="1"/>
  <c r="A1815" i="1"/>
  <c r="B1815" i="1"/>
  <c r="A1816" i="1"/>
  <c r="A1817" i="1"/>
  <c r="A1818" i="1"/>
  <c r="A1819" i="1"/>
  <c r="A1820" i="1"/>
  <c r="A1821" i="1"/>
  <c r="B1821" i="1"/>
  <c r="A1822" i="1"/>
  <c r="B1822" i="1"/>
  <c r="A1823" i="1"/>
  <c r="B1823" i="1"/>
  <c r="A1824" i="1"/>
  <c r="A1825" i="1"/>
  <c r="B1825" i="1"/>
  <c r="A1826" i="1"/>
  <c r="B1826" i="1"/>
  <c r="A1827" i="1"/>
  <c r="B1827" i="1"/>
  <c r="A1828" i="1"/>
  <c r="B1828" i="1"/>
  <c r="A1829" i="1"/>
  <c r="B1829" i="1"/>
  <c r="A1830" i="1"/>
  <c r="B1830" i="1"/>
  <c r="A1831" i="1"/>
  <c r="B1831" i="1"/>
  <c r="A1832" i="1"/>
  <c r="A1833" i="1"/>
  <c r="B1833" i="1"/>
  <c r="A1834" i="1"/>
  <c r="B1834" i="1"/>
  <c r="A1835" i="1"/>
  <c r="B1835" i="1"/>
  <c r="A1836" i="1"/>
  <c r="A1837" i="1"/>
  <c r="B1837" i="1"/>
  <c r="A1838" i="1"/>
  <c r="B1838" i="1"/>
  <c r="A1839" i="1"/>
  <c r="B1839" i="1"/>
  <c r="A1840" i="1"/>
  <c r="B1840" i="1"/>
  <c r="A1841" i="1"/>
  <c r="B1841" i="1"/>
  <c r="A1842" i="1"/>
  <c r="B1842" i="1"/>
  <c r="A1843" i="1"/>
  <c r="B1843" i="1"/>
  <c r="A1844" i="1"/>
  <c r="B1844" i="1"/>
  <c r="A1845" i="1"/>
  <c r="B1845" i="1"/>
  <c r="A1846" i="1"/>
  <c r="A1847" i="1"/>
  <c r="A1848" i="1"/>
  <c r="B1848" i="1"/>
  <c r="A1849" i="1"/>
  <c r="B1849" i="1"/>
  <c r="A1850" i="1"/>
  <c r="A1851" i="1"/>
  <c r="A1852" i="1"/>
  <c r="B1852" i="1"/>
  <c r="A1853" i="1"/>
  <c r="A1854" i="1"/>
  <c r="B1854" i="1"/>
  <c r="A1855" i="1"/>
  <c r="B1855" i="1"/>
  <c r="A1856" i="1"/>
  <c r="B1856" i="1"/>
  <c r="A1857" i="1"/>
  <c r="B1857" i="1"/>
  <c r="A1858" i="1"/>
  <c r="B1858" i="1"/>
  <c r="A1859" i="1"/>
  <c r="B1859" i="1"/>
  <c r="A1860" i="1"/>
  <c r="B1860" i="1"/>
  <c r="A1861" i="1"/>
  <c r="B1861" i="1"/>
  <c r="A1862" i="1"/>
  <c r="A1863" i="1"/>
  <c r="B1863" i="1"/>
  <c r="A1864" i="1"/>
  <c r="B1864" i="1"/>
  <c r="A1865" i="1"/>
  <c r="B1865" i="1"/>
  <c r="A1866" i="1"/>
  <c r="A1867" i="1"/>
  <c r="A1868" i="1"/>
  <c r="B1868" i="1"/>
  <c r="A1869" i="1"/>
  <c r="B1869" i="1"/>
  <c r="A1870" i="1"/>
  <c r="B1870" i="1"/>
  <c r="A1871" i="1"/>
  <c r="A1872" i="1"/>
  <c r="B1872" i="1"/>
  <c r="A1873" i="1"/>
  <c r="A1874" i="1"/>
  <c r="B1874" i="1"/>
  <c r="A1875" i="1"/>
  <c r="B1875" i="1"/>
  <c r="A1876" i="1"/>
  <c r="B1876" i="1"/>
  <c r="A1877" i="1"/>
  <c r="B1877" i="1"/>
  <c r="A1878" i="1"/>
  <c r="B1878" i="1"/>
  <c r="A1879" i="1"/>
  <c r="B1879" i="1"/>
  <c r="A1880" i="1"/>
  <c r="B1880" i="1"/>
  <c r="A1881" i="1"/>
  <c r="B1881" i="1"/>
  <c r="A1882" i="1"/>
  <c r="B1882" i="1"/>
  <c r="A1883" i="1"/>
  <c r="B1883" i="1"/>
  <c r="A1884" i="1"/>
  <c r="B1884" i="1"/>
  <c r="A1885" i="1"/>
  <c r="B1885" i="1"/>
  <c r="A1886" i="1"/>
  <c r="B1886" i="1"/>
  <c r="A1887" i="1"/>
  <c r="A1888" i="1"/>
  <c r="B1888" i="1"/>
  <c r="A1889" i="1"/>
  <c r="A1890" i="1"/>
  <c r="A1891" i="1"/>
  <c r="A1892" i="1"/>
  <c r="A1893" i="1"/>
  <c r="A1894" i="1"/>
  <c r="A1895" i="1"/>
  <c r="A1896" i="1"/>
  <c r="B1896" i="1"/>
  <c r="A1897" i="1"/>
  <c r="B1897" i="1"/>
  <c r="A1898" i="1"/>
  <c r="B1898" i="1"/>
  <c r="A1899" i="1"/>
  <c r="B1899" i="1"/>
  <c r="A1900" i="1"/>
  <c r="B1900" i="1"/>
  <c r="A1901" i="1"/>
  <c r="B1901" i="1"/>
  <c r="A1902" i="1"/>
  <c r="B1902" i="1"/>
  <c r="A1903" i="1"/>
  <c r="B1903" i="1"/>
  <c r="A1904" i="1"/>
  <c r="B1904" i="1"/>
  <c r="A1905" i="1"/>
  <c r="A1906" i="1"/>
  <c r="B1906" i="1"/>
  <c r="A1907" i="1"/>
  <c r="A1908" i="1"/>
  <c r="B1908" i="1"/>
  <c r="A1909" i="1"/>
  <c r="B1909" i="1"/>
  <c r="A1910" i="1"/>
  <c r="A1911" i="1"/>
  <c r="B1911" i="1"/>
  <c r="A1912" i="1"/>
  <c r="B1912" i="1"/>
  <c r="A1913" i="1"/>
  <c r="B1913" i="1"/>
  <c r="A1914" i="1"/>
  <c r="B1914" i="1"/>
  <c r="A1915" i="1"/>
  <c r="B1915" i="1"/>
  <c r="A1916" i="1"/>
  <c r="A1917" i="1"/>
  <c r="B1917" i="1"/>
  <c r="A1918" i="1"/>
  <c r="B1918" i="1"/>
  <c r="A1919" i="1"/>
  <c r="B1919" i="1"/>
  <c r="A1920" i="1"/>
  <c r="B1920" i="1"/>
  <c r="A1921" i="1"/>
  <c r="B1921" i="1"/>
  <c r="A1922" i="1"/>
  <c r="B1922" i="1"/>
  <c r="A1923" i="1"/>
  <c r="B1923" i="1"/>
  <c r="A1924" i="1"/>
  <c r="B1924" i="1"/>
  <c r="A1925" i="1"/>
  <c r="A1926" i="1"/>
  <c r="B1926" i="1"/>
  <c r="A1927" i="1"/>
  <c r="B1927" i="1"/>
  <c r="A1928" i="1"/>
  <c r="B1928" i="1"/>
  <c r="A1929" i="1"/>
  <c r="B1929" i="1"/>
  <c r="A1930" i="1"/>
  <c r="B1930" i="1"/>
  <c r="A1931" i="1"/>
  <c r="B1931" i="1"/>
  <c r="A1932" i="1"/>
  <c r="B1932" i="1"/>
  <c r="A1933" i="1"/>
  <c r="B1933" i="1"/>
  <c r="A1934" i="1"/>
  <c r="B1934" i="1"/>
  <c r="A1935" i="1"/>
  <c r="B1935" i="1"/>
  <c r="A1936" i="1"/>
  <c r="B1936" i="1"/>
  <c r="A1937" i="1"/>
  <c r="B1937" i="1"/>
  <c r="A1938" i="1"/>
  <c r="A1939" i="1"/>
  <c r="B1939" i="1"/>
  <c r="A1940" i="1"/>
  <c r="B1940" i="1"/>
  <c r="A1941" i="1"/>
  <c r="B1941" i="1"/>
  <c r="A1942" i="1"/>
  <c r="A1943" i="1"/>
  <c r="A1944" i="1"/>
  <c r="A1945" i="1"/>
  <c r="B1945" i="1"/>
  <c r="A1946" i="1"/>
  <c r="B1946" i="1"/>
  <c r="A1947" i="1"/>
  <c r="A1948" i="1"/>
  <c r="A1949" i="1"/>
  <c r="A1950" i="1"/>
  <c r="A1951" i="1"/>
  <c r="A1952" i="1"/>
  <c r="B1952" i="1"/>
  <c r="A1953" i="1"/>
  <c r="B1953" i="1"/>
  <c r="A1954" i="1"/>
  <c r="A1955" i="1"/>
  <c r="B1955" i="1"/>
  <c r="A1956" i="1"/>
  <c r="B1956" i="1"/>
  <c r="A1957" i="1"/>
  <c r="A1958" i="1"/>
  <c r="A1959" i="1"/>
  <c r="B1959" i="1"/>
  <c r="A1960" i="1"/>
  <c r="B1960" i="1"/>
  <c r="A1961" i="1"/>
  <c r="B1961" i="1"/>
  <c r="A1962" i="1"/>
  <c r="B1962" i="1"/>
  <c r="A1963" i="1"/>
  <c r="B1963" i="1"/>
  <c r="A1964" i="1"/>
  <c r="B1964" i="1"/>
  <c r="A1965" i="1"/>
  <c r="A1966" i="1"/>
  <c r="A1967" i="1"/>
  <c r="A1968" i="1"/>
  <c r="A1969" i="1"/>
  <c r="A1970" i="1"/>
  <c r="B1970" i="1"/>
  <c r="A1971" i="1"/>
  <c r="B1971" i="1"/>
  <c r="A1972" i="1"/>
  <c r="A1973" i="1"/>
  <c r="B1973" i="1"/>
  <c r="A1974" i="1"/>
  <c r="B1974" i="1"/>
  <c r="A1975" i="1"/>
  <c r="A1976" i="1"/>
  <c r="A1977" i="1"/>
  <c r="A1978" i="1"/>
  <c r="A1979" i="1"/>
  <c r="A1980" i="1"/>
  <c r="A1981" i="1"/>
  <c r="B1981" i="1"/>
  <c r="A1982" i="1"/>
  <c r="B1982" i="1"/>
  <c r="A1983" i="1"/>
  <c r="A1984" i="1"/>
  <c r="A1985" i="1"/>
  <c r="B1985" i="1"/>
  <c r="A1986" i="1"/>
  <c r="A1987" i="1"/>
  <c r="B1987" i="1"/>
  <c r="A1988" i="1"/>
  <c r="B1988" i="1"/>
  <c r="A1989" i="1"/>
  <c r="B1989" i="1"/>
  <c r="A1990" i="1"/>
  <c r="B1990" i="1"/>
  <c r="A1991" i="1"/>
  <c r="B1991" i="1"/>
  <c r="A1992" i="1"/>
  <c r="A1993" i="1"/>
  <c r="A1994" i="1"/>
  <c r="B1994" i="1"/>
  <c r="A1995" i="1"/>
  <c r="B1995" i="1"/>
  <c r="A1996" i="1"/>
  <c r="B1996" i="1"/>
  <c r="A1997" i="1"/>
  <c r="B1997" i="1"/>
  <c r="A1998" i="1"/>
  <c r="A1999" i="1"/>
  <c r="B1999" i="1"/>
  <c r="A2000" i="1"/>
  <c r="B2000" i="1"/>
  <c r="A2001" i="1"/>
  <c r="B2001" i="1"/>
  <c r="A2002" i="1"/>
  <c r="B2002" i="1"/>
  <c r="A2003" i="1"/>
  <c r="B2003" i="1"/>
  <c r="A2004" i="1"/>
  <c r="A2005" i="1"/>
  <c r="B2005" i="1"/>
  <c r="A2006" i="1"/>
  <c r="B2006" i="1"/>
  <c r="A2007" i="1"/>
  <c r="B2007" i="1"/>
  <c r="A2008" i="1"/>
  <c r="B2008" i="1"/>
  <c r="A2009" i="1"/>
  <c r="B2009" i="1"/>
  <c r="A2010" i="1"/>
  <c r="B2010" i="1"/>
  <c r="A2011" i="1"/>
  <c r="A2012" i="1"/>
  <c r="B2012" i="1"/>
  <c r="A2013" i="1"/>
  <c r="B2013" i="1"/>
  <c r="A2014" i="1"/>
  <c r="B2014" i="1"/>
  <c r="A2015" i="1"/>
  <c r="B2015" i="1"/>
  <c r="A2016" i="1"/>
  <c r="B2016" i="1"/>
  <c r="A2017" i="1"/>
  <c r="B2017" i="1"/>
  <c r="A2018" i="1"/>
  <c r="B2018" i="1"/>
  <c r="A2019" i="1"/>
  <c r="B2019" i="1"/>
  <c r="A2020" i="1"/>
  <c r="B2020" i="1"/>
  <c r="A2021" i="1"/>
  <c r="B2021" i="1"/>
  <c r="A2022" i="1"/>
  <c r="B2022" i="1"/>
  <c r="A2023" i="1"/>
  <c r="B2023" i="1"/>
  <c r="A2024" i="1"/>
  <c r="B2024" i="1"/>
  <c r="A2025" i="1"/>
  <c r="B2025" i="1"/>
  <c r="A2026" i="1"/>
  <c r="B2026" i="1"/>
  <c r="A2027" i="1"/>
  <c r="B2027" i="1"/>
  <c r="A2028" i="1"/>
  <c r="B2028" i="1"/>
  <c r="A2029" i="1"/>
  <c r="B2029" i="1"/>
  <c r="A2030" i="1"/>
  <c r="B2030" i="1"/>
  <c r="A2031" i="1"/>
  <c r="B2031" i="1"/>
  <c r="A2032" i="1"/>
  <c r="B2032" i="1"/>
  <c r="A2033" i="1"/>
  <c r="B2033" i="1"/>
  <c r="A2034" i="1"/>
  <c r="B2034" i="1"/>
  <c r="A2035" i="1"/>
  <c r="A2036" i="1"/>
  <c r="A2037" i="1"/>
  <c r="B2037" i="1"/>
  <c r="A2038" i="1"/>
  <c r="A2039" i="1"/>
  <c r="B2039" i="1"/>
  <c r="A2040" i="1"/>
  <c r="B2040" i="1"/>
  <c r="A2041" i="1"/>
  <c r="B2041" i="1"/>
  <c r="A2042" i="1"/>
  <c r="B2042" i="1"/>
  <c r="A2043" i="1"/>
  <c r="B2043" i="1"/>
  <c r="A2044" i="1"/>
  <c r="B2044" i="1"/>
  <c r="A2045" i="1"/>
  <c r="B2045" i="1"/>
  <c r="A2046" i="1"/>
  <c r="B2046" i="1"/>
  <c r="A2047" i="1"/>
  <c r="B2047" i="1"/>
  <c r="A2048" i="1"/>
  <c r="B2048" i="1"/>
  <c r="A2049" i="1"/>
  <c r="B2049" i="1"/>
  <c r="A2050" i="1"/>
  <c r="B2050" i="1"/>
  <c r="A2051" i="1"/>
  <c r="B2051" i="1"/>
  <c r="A2052" i="1"/>
  <c r="A2053" i="1"/>
  <c r="B2053" i="1"/>
  <c r="A2054" i="1"/>
  <c r="B2054" i="1"/>
  <c r="A2055" i="1"/>
  <c r="B2055" i="1"/>
  <c r="A2056" i="1"/>
  <c r="A2057" i="1"/>
  <c r="B2057" i="1"/>
  <c r="A2058" i="1"/>
  <c r="B2058" i="1"/>
  <c r="A2059" i="1"/>
  <c r="B2059" i="1"/>
  <c r="A2060" i="1"/>
  <c r="B2060" i="1"/>
  <c r="A2061" i="1"/>
  <c r="B2061" i="1"/>
  <c r="A2062" i="1"/>
  <c r="A2063" i="1"/>
  <c r="A2064" i="1"/>
  <c r="B2064" i="1"/>
  <c r="A2065" i="1"/>
  <c r="B2065" i="1"/>
  <c r="A2066" i="1"/>
  <c r="B2066" i="1"/>
  <c r="A2067" i="1"/>
  <c r="A2068" i="1"/>
  <c r="B2068" i="1"/>
  <c r="A2069" i="1"/>
  <c r="A2070" i="1"/>
  <c r="A2071" i="1"/>
  <c r="B2071" i="1"/>
  <c r="A2072" i="1"/>
  <c r="A2073" i="1"/>
  <c r="A2074" i="1"/>
  <c r="A2075" i="1"/>
  <c r="A2076" i="1"/>
  <c r="B2076" i="1"/>
  <c r="A2077" i="1"/>
  <c r="B2077" i="1"/>
  <c r="A2078" i="1"/>
  <c r="B2078" i="1"/>
  <c r="A2079" i="1"/>
  <c r="A2080" i="1"/>
  <c r="A2081" i="1"/>
  <c r="B2081" i="1"/>
  <c r="A2082" i="1"/>
  <c r="A2083" i="1"/>
  <c r="B2083" i="1"/>
  <c r="A2084" i="1"/>
  <c r="B2084" i="1"/>
  <c r="A2085" i="1"/>
  <c r="B2085" i="1"/>
  <c r="A2086" i="1"/>
  <c r="A2087" i="1"/>
  <c r="A2088" i="1"/>
  <c r="B2088" i="1"/>
  <c r="A2089" i="1"/>
  <c r="B2089" i="1"/>
  <c r="A2090" i="1"/>
  <c r="A2091" i="1"/>
  <c r="A2092" i="1"/>
  <c r="B2092" i="1"/>
  <c r="A2093" i="1"/>
  <c r="B2093" i="1"/>
  <c r="A2094" i="1"/>
  <c r="B2094" i="1"/>
  <c r="A2095" i="1"/>
  <c r="B2095" i="1"/>
  <c r="A2096" i="1"/>
  <c r="B2096" i="1"/>
  <c r="A2097" i="1"/>
  <c r="B2097" i="1"/>
  <c r="A2098" i="1"/>
  <c r="B2098" i="1"/>
  <c r="A2099" i="1"/>
  <c r="B2099" i="1"/>
  <c r="A2100" i="1"/>
  <c r="B2100" i="1"/>
  <c r="A2101" i="1"/>
  <c r="B2101" i="1"/>
  <c r="A2102" i="1"/>
  <c r="B2102" i="1"/>
  <c r="A2103" i="1"/>
  <c r="B2103" i="1"/>
  <c r="A2104" i="1"/>
  <c r="B2104" i="1"/>
  <c r="A2105" i="1"/>
  <c r="A2106" i="1"/>
  <c r="B2106" i="1"/>
  <c r="A2107" i="1"/>
  <c r="B2107" i="1"/>
  <c r="A2108" i="1"/>
  <c r="B2108" i="1"/>
  <c r="A2109" i="1"/>
  <c r="A2110" i="1"/>
  <c r="A2111" i="1"/>
  <c r="B2111" i="1"/>
  <c r="A2112" i="1"/>
  <c r="A2113" i="1"/>
  <c r="B2113" i="1"/>
  <c r="A2114" i="1"/>
  <c r="A2115" i="1"/>
  <c r="B2115" i="1"/>
  <c r="A2116" i="1"/>
  <c r="B2116" i="1"/>
  <c r="A2117" i="1"/>
  <c r="B2117" i="1"/>
  <c r="A2118" i="1"/>
  <c r="B2118" i="1"/>
  <c r="A2119" i="1"/>
  <c r="B2119" i="1"/>
  <c r="A2120" i="1"/>
  <c r="A2121" i="1"/>
  <c r="B2121" i="1"/>
  <c r="A2122" i="1"/>
  <c r="B2122" i="1"/>
  <c r="A2123" i="1"/>
  <c r="B2123" i="1"/>
  <c r="A2124" i="1"/>
  <c r="B2124" i="1"/>
  <c r="A2125" i="1"/>
  <c r="B2125" i="1"/>
  <c r="A2126" i="1"/>
  <c r="B2126" i="1"/>
  <c r="A2127" i="1"/>
  <c r="B2127" i="1"/>
  <c r="A2128" i="1"/>
  <c r="B2128" i="1"/>
  <c r="A2129" i="1"/>
  <c r="A2130" i="1"/>
  <c r="B2130" i="1"/>
  <c r="A2131" i="1"/>
  <c r="B2131" i="1"/>
  <c r="A2132" i="1"/>
  <c r="B2132" i="1"/>
  <c r="A2133" i="1"/>
  <c r="B2133" i="1"/>
  <c r="A2134" i="1"/>
  <c r="B2134" i="1"/>
  <c r="A2135" i="1"/>
  <c r="B2135" i="1"/>
  <c r="A2136" i="1"/>
  <c r="B2136" i="1"/>
  <c r="A2137" i="1"/>
  <c r="B2137" i="1"/>
  <c r="A2138" i="1"/>
  <c r="B2138" i="1"/>
  <c r="A2139" i="1"/>
  <c r="B2139" i="1"/>
  <c r="A2140" i="1"/>
  <c r="B2140" i="1"/>
  <c r="A2141" i="1"/>
  <c r="A2142" i="1"/>
  <c r="B2142" i="1"/>
  <c r="A2143" i="1"/>
  <c r="B2143" i="1"/>
  <c r="A2144" i="1"/>
  <c r="B2144" i="1"/>
  <c r="A2145" i="1"/>
  <c r="A2146" i="1"/>
  <c r="B2146" i="1"/>
  <c r="A2147" i="1"/>
  <c r="B2147" i="1"/>
  <c r="A2148" i="1"/>
  <c r="B2148" i="1"/>
  <c r="A2149" i="1"/>
  <c r="B2149" i="1"/>
  <c r="A2150" i="1"/>
  <c r="B2150" i="1"/>
  <c r="A2151" i="1"/>
  <c r="A2152" i="1"/>
  <c r="B2152" i="1"/>
  <c r="A2153" i="1"/>
  <c r="B2153" i="1"/>
  <c r="A2154" i="1"/>
  <c r="B2154" i="1"/>
  <c r="A2155" i="1"/>
  <c r="B2155" i="1"/>
  <c r="A2156" i="1"/>
  <c r="B2156" i="1"/>
  <c r="A2157" i="1"/>
  <c r="B2157" i="1"/>
  <c r="A2158" i="1"/>
  <c r="B2158" i="1"/>
  <c r="A2159" i="1"/>
  <c r="A2160" i="1"/>
  <c r="B2160" i="1"/>
  <c r="A2161" i="1"/>
  <c r="B2161" i="1"/>
  <c r="A2162" i="1"/>
  <c r="B2162" i="1"/>
  <c r="A2163" i="1"/>
  <c r="A2164" i="1"/>
  <c r="B2164" i="1"/>
  <c r="A2165" i="1"/>
  <c r="B2165" i="1"/>
  <c r="A2166" i="1"/>
  <c r="A2167" i="1"/>
  <c r="B2167" i="1"/>
  <c r="A2168" i="1"/>
  <c r="B2168" i="1"/>
  <c r="A2169" i="1"/>
  <c r="B2169" i="1"/>
  <c r="A2170" i="1"/>
  <c r="A2171" i="1"/>
  <c r="A2172" i="1"/>
  <c r="B2172" i="1"/>
  <c r="A2173" i="1"/>
  <c r="B2173" i="1"/>
  <c r="A2174" i="1"/>
  <c r="B2174" i="1"/>
  <c r="A2175" i="1"/>
  <c r="B2175" i="1"/>
  <c r="A2176" i="1"/>
  <c r="B2176" i="1"/>
  <c r="A2177" i="1"/>
  <c r="A2178" i="1"/>
  <c r="B2178" i="1"/>
  <c r="A2179" i="1"/>
  <c r="B2179" i="1"/>
  <c r="A2180" i="1"/>
  <c r="B2180" i="1"/>
  <c r="A2181" i="1"/>
  <c r="B2181" i="1"/>
  <c r="A2182" i="1"/>
  <c r="A2183" i="1"/>
  <c r="B2183" i="1"/>
  <c r="A2184" i="1"/>
  <c r="B2184" i="1"/>
  <c r="A2185" i="1"/>
  <c r="B2185" i="1"/>
  <c r="A2186" i="1"/>
  <c r="B2186" i="1"/>
  <c r="A2187" i="1"/>
  <c r="B2187" i="1"/>
  <c r="A2188" i="1"/>
  <c r="B2188" i="1"/>
  <c r="A2189" i="1"/>
  <c r="B2189" i="1"/>
  <c r="A2190" i="1"/>
  <c r="B2190" i="1"/>
  <c r="A2191" i="1"/>
  <c r="B2191" i="1"/>
  <c r="A2192" i="1"/>
  <c r="B2192" i="1"/>
  <c r="A2193" i="1"/>
  <c r="B2193" i="1"/>
  <c r="A2194" i="1"/>
  <c r="B2194" i="1"/>
  <c r="A2195" i="1"/>
  <c r="B2195" i="1"/>
  <c r="A2196" i="1"/>
  <c r="B2196" i="1"/>
  <c r="A2197" i="1"/>
  <c r="B2197" i="1"/>
  <c r="A2198" i="1"/>
  <c r="B2198" i="1"/>
  <c r="A2199" i="1"/>
  <c r="B2199" i="1"/>
  <c r="A2200" i="1"/>
  <c r="A2201" i="1"/>
  <c r="A2202" i="1"/>
  <c r="A2203" i="1"/>
  <c r="A2204" i="1"/>
  <c r="B2204" i="1"/>
  <c r="A2205" i="1"/>
  <c r="B2205" i="1"/>
  <c r="A2206" i="1"/>
  <c r="B2206" i="1"/>
  <c r="A2207" i="1"/>
  <c r="B2207" i="1"/>
  <c r="A2208" i="1"/>
  <c r="B2208" i="1"/>
  <c r="A2209" i="1"/>
  <c r="B2209" i="1"/>
  <c r="A2210" i="1"/>
  <c r="B2210" i="1"/>
  <c r="A2211" i="1"/>
  <c r="B2211" i="1"/>
  <c r="A2212" i="1"/>
  <c r="B2212" i="1"/>
  <c r="A2213" i="1"/>
  <c r="B2213" i="1"/>
  <c r="A2214" i="1"/>
  <c r="B2214" i="1"/>
  <c r="A2215" i="1"/>
  <c r="A2216" i="1"/>
  <c r="B2216" i="1"/>
  <c r="A2217" i="1"/>
  <c r="A2218" i="1"/>
  <c r="A2219" i="1"/>
  <c r="A2220" i="1"/>
  <c r="B2220" i="1"/>
  <c r="A2221" i="1"/>
  <c r="A2222" i="1"/>
  <c r="B2222" i="1"/>
  <c r="A2223" i="1"/>
  <c r="A2224" i="1"/>
  <c r="A2225" i="1"/>
  <c r="B2225" i="1"/>
  <c r="A2226" i="1"/>
  <c r="A2227" i="1"/>
  <c r="A2228" i="1"/>
  <c r="B2228" i="1"/>
  <c r="A2229" i="1"/>
  <c r="A2230" i="1"/>
  <c r="B2230" i="1"/>
  <c r="A2231" i="1"/>
  <c r="B2231" i="1"/>
  <c r="A2232" i="1"/>
  <c r="B2232" i="1"/>
  <c r="A2233" i="1"/>
  <c r="A2234" i="1"/>
  <c r="B2234" i="1"/>
  <c r="A2235" i="1"/>
  <c r="A2236" i="1"/>
  <c r="B2236" i="1"/>
  <c r="A2237" i="1"/>
  <c r="B2237" i="1"/>
  <c r="A2238" i="1"/>
  <c r="B2238" i="1"/>
  <c r="A2239" i="1"/>
  <c r="B2239" i="1"/>
  <c r="A2240" i="1"/>
  <c r="B2240" i="1"/>
  <c r="A2241" i="1"/>
  <c r="B2241" i="1"/>
  <c r="A2242" i="1"/>
  <c r="B2242" i="1"/>
  <c r="A2243" i="1"/>
  <c r="B2243" i="1"/>
  <c r="A2244" i="1"/>
  <c r="B2244" i="1"/>
  <c r="A2245" i="1"/>
  <c r="B2245" i="1"/>
  <c r="A2246" i="1"/>
  <c r="B2246" i="1"/>
  <c r="A2247" i="1"/>
  <c r="B2247" i="1"/>
  <c r="A2248" i="1"/>
  <c r="A2249" i="1"/>
  <c r="A2250" i="1"/>
  <c r="A2251" i="1"/>
  <c r="A2252" i="1"/>
  <c r="A2253" i="1"/>
  <c r="A2254" i="1"/>
  <c r="A2255" i="1"/>
  <c r="B2255" i="1"/>
  <c r="A2256" i="1"/>
  <c r="B2256" i="1"/>
  <c r="A2257" i="1"/>
  <c r="A2258" i="1"/>
  <c r="B2258" i="1"/>
  <c r="A2259" i="1"/>
  <c r="B2259" i="1"/>
  <c r="A2260" i="1"/>
  <c r="B2260" i="1"/>
  <c r="A2261" i="1"/>
  <c r="A2262" i="1"/>
  <c r="B2262" i="1"/>
  <c r="A2263" i="1"/>
  <c r="A2264" i="1"/>
  <c r="A2265" i="1"/>
  <c r="A2266" i="1"/>
  <c r="A2267" i="1"/>
  <c r="A2268" i="1"/>
  <c r="A2269" i="1"/>
  <c r="B2269" i="1"/>
  <c r="A2270" i="1"/>
  <c r="B2270" i="1"/>
  <c r="A2271" i="1"/>
  <c r="B2271" i="1"/>
  <c r="A2272" i="1"/>
  <c r="B2272" i="1"/>
  <c r="A2273" i="1"/>
  <c r="B2273" i="1"/>
  <c r="A2274" i="1"/>
  <c r="B2274" i="1"/>
  <c r="A2275" i="1"/>
  <c r="A2276" i="1"/>
  <c r="A2277" i="1"/>
  <c r="B2277" i="1"/>
  <c r="A2278" i="1"/>
  <c r="A2279" i="1"/>
  <c r="A2280" i="1"/>
  <c r="B2280" i="1"/>
  <c r="A2281" i="1"/>
  <c r="B2281" i="1"/>
  <c r="A2282" i="1"/>
  <c r="B2282" i="1"/>
  <c r="A2283" i="1"/>
  <c r="B2283" i="1"/>
  <c r="A2284" i="1"/>
  <c r="B2284" i="1"/>
  <c r="A2285" i="1"/>
  <c r="B2285" i="1"/>
  <c r="A2286" i="1"/>
  <c r="A2287" i="1"/>
  <c r="B2287" i="1"/>
  <c r="A2288" i="1"/>
  <c r="B2288" i="1"/>
  <c r="A2289" i="1"/>
  <c r="B2289" i="1"/>
  <c r="A2290" i="1"/>
  <c r="B2290" i="1"/>
  <c r="A2291" i="1"/>
  <c r="A2292" i="1"/>
  <c r="A2293" i="1"/>
  <c r="B2293" i="1"/>
  <c r="A2294" i="1"/>
  <c r="A2295" i="1"/>
  <c r="A2296" i="1"/>
  <c r="B2296" i="1"/>
  <c r="A2297" i="1"/>
  <c r="B2297" i="1"/>
  <c r="A2298" i="1"/>
  <c r="B2298" i="1"/>
  <c r="A2299" i="1"/>
  <c r="B2299" i="1"/>
  <c r="A2300" i="1"/>
  <c r="B2300" i="1"/>
  <c r="A2301" i="1"/>
  <c r="B2301" i="1"/>
  <c r="A2302" i="1"/>
  <c r="B2302" i="1"/>
  <c r="A2303" i="1"/>
  <c r="B2303" i="1"/>
  <c r="A2304" i="1"/>
  <c r="B2304" i="1"/>
  <c r="A2305" i="1"/>
  <c r="B2305" i="1"/>
  <c r="A2306" i="1"/>
  <c r="B2306" i="1"/>
  <c r="A2307" i="1"/>
  <c r="B2307" i="1"/>
  <c r="A2308" i="1"/>
  <c r="A2309" i="1"/>
  <c r="A2310" i="1"/>
  <c r="B2310" i="1"/>
  <c r="A2311" i="1"/>
  <c r="B2311" i="1"/>
  <c r="A2312" i="1"/>
  <c r="B2312" i="1"/>
  <c r="A2313" i="1"/>
  <c r="B2313" i="1"/>
  <c r="A2314" i="1"/>
  <c r="B2314" i="1"/>
  <c r="A2315" i="1"/>
  <c r="B2315" i="1"/>
  <c r="A2316" i="1"/>
  <c r="B2316" i="1"/>
  <c r="A2317" i="1"/>
  <c r="B2317" i="1"/>
  <c r="A2318" i="1"/>
  <c r="B2318" i="1"/>
  <c r="A2319" i="1"/>
  <c r="B2319" i="1"/>
  <c r="A2320" i="1"/>
  <c r="B2320" i="1"/>
  <c r="A2321" i="1"/>
  <c r="B2321" i="1"/>
  <c r="A2322" i="1"/>
  <c r="B2322" i="1"/>
  <c r="A2323" i="1"/>
  <c r="B2323" i="1"/>
  <c r="A2324" i="1"/>
  <c r="A2325" i="1"/>
  <c r="A2326" i="1"/>
  <c r="A2327" i="1"/>
  <c r="B2327" i="1"/>
  <c r="A2328" i="1"/>
  <c r="B2328" i="1"/>
  <c r="A2329" i="1"/>
  <c r="B2329" i="1"/>
  <c r="A2330" i="1"/>
  <c r="B2330" i="1"/>
  <c r="A2331" i="1"/>
  <c r="B2331" i="1"/>
  <c r="A2332" i="1"/>
  <c r="B2332" i="1"/>
  <c r="A2333" i="1"/>
  <c r="A2334" i="1"/>
  <c r="A2335" i="1"/>
  <c r="B2335" i="1"/>
  <c r="A2336" i="1"/>
  <c r="B2336" i="1"/>
  <c r="A2337" i="1"/>
  <c r="B2337" i="1"/>
  <c r="A2338" i="1"/>
  <c r="B2338" i="1"/>
  <c r="A2339" i="1"/>
  <c r="B2339" i="1"/>
  <c r="A2340" i="1"/>
  <c r="B2340" i="1"/>
  <c r="A2341" i="1"/>
  <c r="B2341" i="1"/>
  <c r="A2342" i="1"/>
  <c r="B2342" i="1"/>
  <c r="A2343" i="1"/>
  <c r="B2343" i="1"/>
  <c r="A2344" i="1"/>
  <c r="B2344" i="1"/>
  <c r="A2345" i="1"/>
  <c r="B2345" i="1"/>
  <c r="A2346" i="1"/>
  <c r="B2346" i="1"/>
  <c r="A2347" i="1"/>
  <c r="B2347" i="1"/>
  <c r="A2348" i="1"/>
  <c r="B2348" i="1"/>
  <c r="A2349" i="1"/>
  <c r="A2350" i="1"/>
  <c r="B2350" i="1"/>
  <c r="A2351" i="1"/>
  <c r="B2351" i="1"/>
  <c r="A2352" i="1"/>
  <c r="B2352" i="1"/>
  <c r="A2353" i="1"/>
  <c r="B2353" i="1"/>
  <c r="A2354" i="1"/>
  <c r="B2354" i="1"/>
  <c r="A2355" i="1"/>
  <c r="B2355" i="1"/>
  <c r="A2356" i="1"/>
  <c r="B2356" i="1"/>
  <c r="A2357" i="1"/>
  <c r="B2357" i="1"/>
  <c r="A2358" i="1"/>
  <c r="A2359" i="1"/>
  <c r="A2360" i="1"/>
  <c r="A2361" i="1"/>
  <c r="B2361" i="1"/>
  <c r="A2362" i="1"/>
  <c r="B2362" i="1"/>
  <c r="A2363" i="1"/>
  <c r="A2364" i="1"/>
  <c r="A2365" i="1"/>
  <c r="A2366" i="1"/>
  <c r="A2367" i="1"/>
  <c r="B2367" i="1"/>
  <c r="A2368" i="1"/>
  <c r="B2368" i="1"/>
  <c r="A2369" i="1"/>
  <c r="A2370" i="1"/>
  <c r="B2370" i="1"/>
  <c r="A2371" i="1"/>
  <c r="B2371" i="1"/>
  <c r="A2372" i="1"/>
  <c r="B2372" i="1"/>
  <c r="A2373" i="1"/>
  <c r="B2373" i="1"/>
  <c r="A2374" i="1"/>
  <c r="B2374" i="1"/>
  <c r="A2375" i="1"/>
  <c r="B2375" i="1"/>
  <c r="A2376" i="1"/>
  <c r="B2376" i="1"/>
  <c r="A2377" i="1"/>
  <c r="A2378" i="1"/>
  <c r="B2378" i="1"/>
  <c r="A2379" i="1"/>
  <c r="B2379" i="1"/>
  <c r="A2380" i="1"/>
  <c r="B2380" i="1"/>
  <c r="A2381" i="1"/>
  <c r="B2381" i="1"/>
  <c r="A2382" i="1"/>
  <c r="B2382" i="1"/>
  <c r="A2383" i="1"/>
  <c r="B2383" i="1"/>
  <c r="A2384" i="1"/>
  <c r="B2384" i="1"/>
  <c r="A2385" i="1"/>
  <c r="B2385" i="1"/>
  <c r="A2386" i="1"/>
  <c r="B2386" i="1"/>
  <c r="A2387" i="1"/>
  <c r="B2387" i="1"/>
  <c r="A2388" i="1"/>
  <c r="B2388" i="1"/>
  <c r="A2389" i="1"/>
  <c r="B2389" i="1"/>
  <c r="A2390" i="1"/>
  <c r="A2391" i="1"/>
  <c r="B2391" i="1"/>
  <c r="A2392" i="1"/>
  <c r="B2392" i="1"/>
  <c r="A2393" i="1"/>
  <c r="B2393" i="1"/>
  <c r="A2394" i="1"/>
  <c r="B2394" i="1"/>
  <c r="A2395" i="1"/>
  <c r="B2395" i="1"/>
  <c r="A2396" i="1"/>
  <c r="B2396" i="1"/>
  <c r="A2397" i="1"/>
  <c r="B2397" i="1"/>
  <c r="A2398" i="1"/>
  <c r="B2398" i="1"/>
  <c r="A2399" i="1"/>
  <c r="B2399" i="1"/>
  <c r="A2400" i="1"/>
  <c r="A2401" i="1"/>
  <c r="B2401" i="1"/>
  <c r="A2402" i="1"/>
  <c r="B2402" i="1"/>
  <c r="A2403" i="1"/>
  <c r="A2404" i="1"/>
  <c r="B2404" i="1"/>
  <c r="A2405" i="1"/>
  <c r="B2405" i="1"/>
  <c r="A2406" i="1"/>
  <c r="B2406" i="1"/>
  <c r="A2407" i="1"/>
  <c r="B2407" i="1"/>
  <c r="A2408" i="1"/>
  <c r="B2408" i="1"/>
  <c r="A2409" i="1"/>
  <c r="B2409" i="1"/>
  <c r="A2410" i="1"/>
  <c r="B2410" i="1"/>
  <c r="A2411" i="1"/>
  <c r="B2411" i="1"/>
  <c r="A2412" i="1"/>
  <c r="B2412" i="1"/>
  <c r="A2413" i="1"/>
  <c r="B2413" i="1"/>
  <c r="A2414" i="1"/>
  <c r="A2415" i="1"/>
  <c r="A2416" i="1"/>
  <c r="B2416" i="1"/>
  <c r="A2417" i="1"/>
  <c r="B2417" i="1"/>
  <c r="A2418" i="1"/>
  <c r="A2419" i="1"/>
  <c r="B2419" i="1"/>
  <c r="A2420" i="1"/>
  <c r="B2420" i="1"/>
  <c r="A2421" i="1"/>
  <c r="B2421" i="1"/>
  <c r="A2422" i="1"/>
  <c r="B2422" i="1"/>
  <c r="A2423" i="1"/>
  <c r="B2423" i="1"/>
  <c r="A2424" i="1"/>
  <c r="B2424" i="1"/>
  <c r="A2425" i="1"/>
  <c r="A2426" i="1"/>
  <c r="B2426" i="1"/>
  <c r="A2427" i="1"/>
  <c r="B2427" i="1"/>
  <c r="A2428" i="1"/>
  <c r="B2428" i="1"/>
  <c r="A2429" i="1"/>
  <c r="B2429" i="1"/>
  <c r="A2430" i="1"/>
  <c r="B2430" i="1"/>
  <c r="A2431" i="1"/>
  <c r="B2431" i="1"/>
  <c r="A2432" i="1"/>
  <c r="B2432" i="1"/>
  <c r="A2433" i="1"/>
  <c r="B2433" i="1"/>
  <c r="A2434" i="1"/>
  <c r="B2434" i="1"/>
  <c r="A2435" i="1"/>
  <c r="B2435" i="1"/>
  <c r="A2436" i="1"/>
  <c r="A2437" i="1"/>
  <c r="B2437" i="1"/>
  <c r="A2438" i="1"/>
  <c r="B2438" i="1"/>
  <c r="A2439" i="1"/>
  <c r="B2439" i="1"/>
  <c r="A2440" i="1"/>
  <c r="B2440" i="1"/>
  <c r="A2441" i="1"/>
  <c r="A2442" i="1"/>
  <c r="B2442" i="1"/>
  <c r="A2443" i="1"/>
  <c r="B2443" i="1"/>
  <c r="A2444" i="1"/>
  <c r="B2444" i="1"/>
  <c r="A2445" i="1"/>
  <c r="B2445" i="1"/>
  <c r="A2446" i="1"/>
  <c r="B2446" i="1"/>
  <c r="A2447" i="1"/>
  <c r="B2447" i="1"/>
  <c r="A2448" i="1"/>
  <c r="A2449" i="1"/>
  <c r="B2449" i="1"/>
  <c r="A2450" i="1"/>
  <c r="B2450" i="1"/>
  <c r="A2451" i="1"/>
  <c r="A2452" i="1"/>
  <c r="B2452" i="1"/>
  <c r="A2453" i="1"/>
  <c r="A2454" i="1"/>
  <c r="B2454" i="1"/>
  <c r="A2455" i="1"/>
  <c r="A2456" i="1"/>
  <c r="A2457" i="1"/>
  <c r="B2457" i="1"/>
  <c r="A2458" i="1"/>
  <c r="B2458" i="1"/>
  <c r="A2459" i="1"/>
  <c r="B2459" i="1"/>
  <c r="A2460" i="1"/>
  <c r="B2460" i="1"/>
  <c r="A2461" i="1"/>
  <c r="B2461" i="1"/>
  <c r="A2462" i="1"/>
  <c r="B2462" i="1"/>
  <c r="A2463" i="1"/>
  <c r="A2464" i="1"/>
  <c r="B2464" i="1"/>
  <c r="A2465" i="1"/>
  <c r="B2465" i="1"/>
  <c r="A2466" i="1"/>
  <c r="B2466" i="1"/>
  <c r="A2467" i="1"/>
  <c r="B2467" i="1"/>
  <c r="A2468" i="1"/>
  <c r="B2468" i="1"/>
  <c r="A2469" i="1"/>
  <c r="B2469" i="1"/>
  <c r="A2470" i="1"/>
  <c r="B2470" i="1"/>
  <c r="A2471" i="1"/>
  <c r="B2471" i="1"/>
  <c r="A2472" i="1"/>
  <c r="A2473" i="1"/>
  <c r="B2473" i="1"/>
  <c r="A2474" i="1"/>
  <c r="A2475" i="1"/>
  <c r="A2476" i="1"/>
  <c r="A2477" i="1"/>
  <c r="A2478" i="1"/>
  <c r="B2478" i="1"/>
  <c r="A2479" i="1"/>
  <c r="B2479" i="1"/>
  <c r="A2480" i="1"/>
  <c r="B2480" i="1"/>
  <c r="A2481" i="1"/>
  <c r="B2481" i="1"/>
  <c r="A2482" i="1"/>
  <c r="B2482" i="1"/>
  <c r="A2483" i="1"/>
  <c r="B2483" i="1"/>
  <c r="A2484" i="1"/>
  <c r="B2484" i="1"/>
  <c r="A2485" i="1"/>
  <c r="B2485" i="1"/>
  <c r="A2486" i="1"/>
  <c r="A2487" i="1"/>
  <c r="B2487" i="1"/>
  <c r="A2488" i="1"/>
  <c r="B2488" i="1"/>
  <c r="A2489" i="1"/>
  <c r="B2489" i="1"/>
  <c r="A2490" i="1"/>
  <c r="B2490" i="1"/>
  <c r="A2491" i="1"/>
  <c r="B2491" i="1"/>
  <c r="A2492" i="1"/>
  <c r="B2492" i="1"/>
  <c r="A2493" i="1"/>
  <c r="B2493" i="1"/>
  <c r="A2494" i="1"/>
  <c r="A2495" i="1"/>
  <c r="B2495" i="1"/>
  <c r="A2496" i="1"/>
  <c r="B2496" i="1"/>
  <c r="A2497" i="1"/>
  <c r="B2497" i="1"/>
  <c r="A2498" i="1"/>
  <c r="B2498" i="1"/>
  <c r="A2499" i="1"/>
  <c r="B2499" i="1"/>
  <c r="A2500" i="1"/>
  <c r="B2500" i="1"/>
  <c r="A2501" i="1"/>
  <c r="A2502" i="1"/>
  <c r="B2502" i="1"/>
  <c r="A2503" i="1"/>
  <c r="B2503" i="1"/>
  <c r="A2504" i="1"/>
  <c r="B2504" i="1"/>
  <c r="A2505" i="1"/>
  <c r="B2505" i="1"/>
  <c r="A2506" i="1"/>
  <c r="A2507" i="1"/>
  <c r="B2507" i="1"/>
  <c r="A2508" i="1"/>
  <c r="B2508" i="1"/>
  <c r="A2509" i="1"/>
  <c r="B2509" i="1"/>
  <c r="A2510" i="1"/>
  <c r="B2510" i="1"/>
  <c r="A2511" i="1"/>
  <c r="B2511" i="1"/>
  <c r="A2512" i="1"/>
  <c r="B2512" i="1"/>
  <c r="A2513" i="1"/>
  <c r="B2513" i="1"/>
  <c r="A2514" i="1"/>
  <c r="B2514" i="1"/>
  <c r="A2515" i="1"/>
  <c r="B2515" i="1"/>
  <c r="A2516" i="1"/>
  <c r="B2516" i="1"/>
  <c r="A2517" i="1"/>
  <c r="B2517" i="1"/>
  <c r="A2518" i="1"/>
  <c r="B2518" i="1"/>
  <c r="A2519" i="1"/>
  <c r="B2519" i="1"/>
  <c r="A2520" i="1"/>
  <c r="B2520" i="1"/>
  <c r="A2521" i="1"/>
  <c r="B2521" i="1"/>
  <c r="A2522" i="1"/>
  <c r="B2522" i="1"/>
  <c r="A2523" i="1"/>
  <c r="B2523" i="1"/>
  <c r="A2524" i="1"/>
  <c r="B2524" i="1"/>
  <c r="A2525" i="1"/>
  <c r="B2525" i="1"/>
  <c r="A2526" i="1"/>
  <c r="B2526" i="1"/>
  <c r="A2527" i="1"/>
  <c r="B2527" i="1"/>
  <c r="A2528" i="1"/>
  <c r="A2529" i="1"/>
  <c r="B2529" i="1"/>
  <c r="A2530" i="1"/>
  <c r="B2530" i="1"/>
  <c r="A2531" i="1"/>
  <c r="B2531" i="1"/>
  <c r="A2532" i="1"/>
  <c r="B2532" i="1"/>
  <c r="A2533" i="1"/>
  <c r="B2533" i="1"/>
  <c r="A2534" i="1"/>
  <c r="A2535" i="1"/>
  <c r="B2535" i="1"/>
  <c r="A2536" i="1"/>
  <c r="B2536" i="1"/>
  <c r="A2537" i="1"/>
  <c r="B2537" i="1"/>
  <c r="A2538" i="1"/>
  <c r="B2538" i="1"/>
  <c r="A2539" i="1"/>
  <c r="A2540" i="1"/>
  <c r="B2540" i="1"/>
  <c r="A2541" i="1"/>
  <c r="A2542" i="1"/>
  <c r="B2542" i="1"/>
  <c r="A2543" i="1"/>
  <c r="B2543" i="1"/>
  <c r="A2544" i="1"/>
  <c r="B2544" i="1"/>
  <c r="A2545" i="1"/>
  <c r="B2545" i="1"/>
  <c r="A2546" i="1"/>
  <c r="B2546" i="1"/>
  <c r="A2547" i="1"/>
  <c r="B2547" i="1"/>
  <c r="A2548" i="1"/>
  <c r="A2549" i="1"/>
  <c r="B2549" i="1"/>
  <c r="A2550" i="1"/>
  <c r="B2550" i="1"/>
  <c r="A2551" i="1"/>
  <c r="B2551" i="1"/>
  <c r="A2552" i="1"/>
  <c r="B2552" i="1"/>
  <c r="A2553" i="1"/>
  <c r="B2553" i="1"/>
  <c r="A2554" i="1"/>
  <c r="B2554" i="1"/>
  <c r="A2555" i="1"/>
  <c r="B2555" i="1"/>
  <c r="A2556" i="1"/>
  <c r="B2556" i="1"/>
  <c r="A2557" i="1"/>
  <c r="B2557" i="1"/>
  <c r="A2558" i="1"/>
  <c r="B2558" i="1"/>
  <c r="A2559" i="1"/>
  <c r="B2559" i="1"/>
  <c r="A2560" i="1"/>
  <c r="B2560" i="1"/>
  <c r="A2561" i="1"/>
  <c r="B2561" i="1"/>
  <c r="A2562" i="1"/>
  <c r="B2562" i="1"/>
  <c r="A2563" i="1"/>
  <c r="B2563" i="1"/>
  <c r="A2564" i="1"/>
  <c r="B2564" i="1"/>
  <c r="A2565" i="1"/>
  <c r="A2566" i="1"/>
  <c r="B2566" i="1"/>
  <c r="A2567" i="1"/>
  <c r="B2567" i="1"/>
  <c r="A2568" i="1"/>
  <c r="B2568" i="1"/>
  <c r="A2569" i="1"/>
  <c r="B2569" i="1"/>
  <c r="A2570" i="1"/>
  <c r="B2570" i="1"/>
  <c r="A2571" i="1"/>
  <c r="B2571" i="1"/>
  <c r="A2572" i="1"/>
  <c r="A2573" i="1"/>
  <c r="A2574" i="1"/>
  <c r="B2574" i="1"/>
  <c r="A2575" i="1"/>
  <c r="B2575" i="1"/>
  <c r="A2576" i="1"/>
  <c r="B2576" i="1"/>
  <c r="A2577" i="1"/>
  <c r="B2577" i="1"/>
  <c r="A2578" i="1"/>
  <c r="B2578" i="1"/>
  <c r="A2579" i="1"/>
  <c r="B2579" i="1"/>
  <c r="A2580" i="1"/>
  <c r="B2580" i="1"/>
  <c r="A2581" i="1"/>
  <c r="A2582" i="1"/>
  <c r="A2583" i="1"/>
  <c r="A2584" i="1"/>
  <c r="B2584" i="1"/>
  <c r="A2585" i="1"/>
  <c r="B2585" i="1"/>
  <c r="A2586" i="1"/>
  <c r="B2586" i="1"/>
  <c r="A2587" i="1"/>
  <c r="B2587" i="1"/>
  <c r="A2588" i="1"/>
  <c r="B2588" i="1"/>
  <c r="A2589" i="1"/>
  <c r="B2589" i="1"/>
  <c r="A2590" i="1"/>
  <c r="B2590" i="1"/>
  <c r="A2591" i="1"/>
  <c r="B2591" i="1"/>
  <c r="A2592" i="1"/>
  <c r="B2592" i="1"/>
  <c r="A2593" i="1"/>
  <c r="B2593" i="1"/>
  <c r="A2594" i="1"/>
  <c r="A2595" i="1"/>
  <c r="B2595" i="1"/>
  <c r="A2596" i="1"/>
  <c r="B2596" i="1"/>
  <c r="A2597" i="1"/>
  <c r="B2597" i="1"/>
  <c r="A2598" i="1"/>
  <c r="B2598" i="1"/>
  <c r="A2599" i="1"/>
  <c r="B2599" i="1"/>
  <c r="A2600" i="1"/>
  <c r="B2600" i="1"/>
  <c r="A2601" i="1"/>
  <c r="B2601" i="1"/>
  <c r="A2602" i="1"/>
  <c r="B2602" i="1"/>
  <c r="A2603" i="1"/>
  <c r="A2604" i="1"/>
  <c r="B2604" i="1"/>
  <c r="A2605" i="1"/>
  <c r="B2605" i="1"/>
  <c r="A2606" i="1"/>
  <c r="B2606" i="1"/>
  <c r="A2607" i="1"/>
  <c r="B2607" i="1"/>
  <c r="A2608" i="1"/>
  <c r="B2608" i="1"/>
  <c r="A2609" i="1"/>
  <c r="B2609" i="1"/>
  <c r="A2610" i="1"/>
  <c r="B2610" i="1"/>
  <c r="A2611" i="1"/>
  <c r="B2611" i="1"/>
  <c r="A2612" i="1"/>
  <c r="B2612" i="1"/>
  <c r="A2613" i="1"/>
  <c r="B2613" i="1"/>
  <c r="A2614" i="1"/>
  <c r="B2614" i="1"/>
  <c r="A2615" i="1"/>
  <c r="B2615" i="1"/>
  <c r="A2616" i="1"/>
  <c r="B2616" i="1"/>
  <c r="A2617" i="1"/>
  <c r="A2618" i="1"/>
  <c r="A2619" i="1"/>
  <c r="A2620" i="1"/>
  <c r="B2620" i="1"/>
  <c r="A2621" i="1"/>
  <c r="B2621" i="1"/>
  <c r="A2622" i="1"/>
  <c r="B2622" i="1"/>
  <c r="A2623" i="1"/>
  <c r="B2623" i="1"/>
  <c r="A2624" i="1"/>
  <c r="B2624" i="1"/>
  <c r="A2625" i="1"/>
  <c r="B2625" i="1"/>
  <c r="A2626" i="1"/>
  <c r="B2626" i="1"/>
  <c r="A2627" i="1"/>
  <c r="B2627" i="1"/>
  <c r="A2628" i="1"/>
  <c r="B2628" i="1"/>
  <c r="A2629" i="1"/>
  <c r="B2629" i="1"/>
  <c r="A2630" i="1"/>
  <c r="B2630" i="1"/>
  <c r="A2631" i="1"/>
  <c r="B2631" i="1"/>
  <c r="A2632" i="1"/>
  <c r="B2632" i="1"/>
  <c r="A2633" i="1"/>
  <c r="B2633" i="1"/>
  <c r="A2634" i="1"/>
  <c r="B2634" i="1"/>
  <c r="A2635" i="1"/>
  <c r="B2635" i="1"/>
  <c r="A2636" i="1"/>
  <c r="A2637" i="1"/>
  <c r="A2638" i="1"/>
  <c r="B2638" i="1"/>
  <c r="A2639" i="1"/>
  <c r="B2639" i="1"/>
  <c r="A2640" i="1"/>
  <c r="B2640" i="1"/>
  <c r="A2641" i="1"/>
  <c r="A2642" i="1"/>
  <c r="B2642" i="1"/>
  <c r="A2643" i="1"/>
  <c r="B2643" i="1"/>
  <c r="A2644" i="1"/>
  <c r="B2644" i="1"/>
  <c r="A2645" i="1"/>
  <c r="B2645" i="1"/>
  <c r="A2646" i="1"/>
  <c r="B2646" i="1"/>
  <c r="A2647" i="1"/>
  <c r="B2647" i="1"/>
  <c r="A2648" i="1"/>
  <c r="B2648" i="1"/>
  <c r="A2649" i="1"/>
  <c r="A2650" i="1"/>
  <c r="B2650" i="1"/>
  <c r="A2651" i="1"/>
  <c r="B2651" i="1"/>
  <c r="A2652" i="1"/>
  <c r="B2652" i="1"/>
  <c r="A2653" i="1"/>
  <c r="A2654" i="1"/>
  <c r="A2655" i="1"/>
  <c r="B2655" i="1"/>
  <c r="A2656" i="1"/>
  <c r="B2656" i="1"/>
  <c r="A2657" i="1"/>
  <c r="A2658" i="1"/>
  <c r="B2658" i="1"/>
  <c r="A2659" i="1"/>
  <c r="B2659" i="1"/>
  <c r="A2660" i="1"/>
  <c r="B2660" i="1"/>
  <c r="A2661" i="1"/>
  <c r="B2661" i="1"/>
  <c r="A2662" i="1"/>
  <c r="A2663" i="1"/>
  <c r="A2664" i="1"/>
  <c r="A2665" i="1"/>
  <c r="B2665" i="1"/>
  <c r="A2666" i="1"/>
  <c r="B2666" i="1"/>
  <c r="A2667" i="1"/>
  <c r="B2667" i="1"/>
  <c r="A2668" i="1"/>
  <c r="A2669" i="1"/>
  <c r="B2669" i="1"/>
  <c r="A2670" i="1"/>
  <c r="B2670" i="1"/>
  <c r="A2671" i="1"/>
  <c r="B2671" i="1"/>
  <c r="A2672" i="1"/>
  <c r="B2672" i="1"/>
  <c r="A2673" i="1"/>
  <c r="B2673" i="1"/>
  <c r="A2674" i="1"/>
  <c r="B2674" i="1"/>
  <c r="A2675" i="1"/>
  <c r="B2675" i="1"/>
  <c r="A2676" i="1"/>
  <c r="A2677" i="1"/>
  <c r="B2677" i="1"/>
  <c r="A2678" i="1"/>
  <c r="B2678" i="1"/>
  <c r="A2679" i="1"/>
  <c r="B2679" i="1"/>
  <c r="A2680" i="1"/>
  <c r="B2680" i="1"/>
  <c r="A2681" i="1"/>
  <c r="B2681" i="1"/>
  <c r="A2682" i="1"/>
  <c r="B2682" i="1"/>
  <c r="A2683" i="1"/>
  <c r="A2684" i="1"/>
  <c r="B2684" i="1"/>
  <c r="A2685" i="1"/>
  <c r="A2686" i="1"/>
  <c r="B2686" i="1"/>
  <c r="A2687" i="1"/>
  <c r="B2687" i="1"/>
  <c r="A2688" i="1"/>
  <c r="B2688" i="1"/>
  <c r="A2689" i="1"/>
  <c r="A2690" i="1"/>
  <c r="B2690" i="1"/>
  <c r="A2691" i="1"/>
  <c r="B2691" i="1"/>
  <c r="A2692" i="1"/>
  <c r="B2692" i="1"/>
  <c r="A2693" i="1"/>
  <c r="B2693" i="1"/>
  <c r="A2694" i="1"/>
  <c r="B2694" i="1"/>
  <c r="A2695" i="1"/>
  <c r="B2695" i="1"/>
  <c r="A2696" i="1"/>
  <c r="A2697" i="1"/>
  <c r="B2697" i="1"/>
  <c r="A2698" i="1"/>
  <c r="B2698" i="1"/>
  <c r="A2699" i="1"/>
  <c r="A2700" i="1"/>
  <c r="B2700" i="1"/>
  <c r="A2701" i="1"/>
  <c r="B2701" i="1"/>
  <c r="A2702" i="1"/>
  <c r="B2702" i="1"/>
  <c r="A2703" i="1"/>
  <c r="B2703" i="1"/>
  <c r="A2704" i="1"/>
  <c r="B2704" i="1"/>
  <c r="A2705" i="1"/>
  <c r="B2705" i="1"/>
  <c r="A2706" i="1"/>
  <c r="A2707" i="1"/>
  <c r="B2707" i="1"/>
  <c r="A2708" i="1"/>
  <c r="B2708" i="1"/>
  <c r="A2709" i="1"/>
  <c r="B2709" i="1"/>
  <c r="A2710" i="1"/>
  <c r="B2710" i="1"/>
  <c r="A2711" i="1"/>
  <c r="B2711" i="1"/>
  <c r="A2712" i="1"/>
  <c r="B2712" i="1"/>
  <c r="A2713" i="1"/>
  <c r="B2713" i="1"/>
  <c r="A2714" i="1"/>
  <c r="B2714" i="1"/>
  <c r="A2715" i="1"/>
  <c r="B2715" i="1"/>
  <c r="A2716" i="1"/>
  <c r="B2716" i="1"/>
  <c r="A2717" i="1"/>
  <c r="B2717" i="1"/>
  <c r="A2718" i="1"/>
  <c r="B2718" i="1"/>
  <c r="A2719" i="1"/>
  <c r="B2719" i="1"/>
  <c r="A2720" i="1"/>
  <c r="A2721" i="1"/>
  <c r="A2722" i="1"/>
  <c r="A2723" i="1"/>
  <c r="A2724" i="1"/>
  <c r="A2725" i="1"/>
  <c r="A2726" i="1"/>
  <c r="A2727" i="1"/>
  <c r="A2728" i="1"/>
  <c r="A2729" i="1"/>
  <c r="A2730" i="1"/>
  <c r="A2731" i="1"/>
  <c r="A2732" i="1"/>
  <c r="A2733" i="1"/>
  <c r="A2734" i="1"/>
  <c r="B2734" i="1"/>
  <c r="A2735" i="1"/>
  <c r="A2736" i="1"/>
  <c r="B2736" i="1"/>
  <c r="A2737" i="1"/>
  <c r="B2737" i="1"/>
  <c r="A2738" i="1"/>
  <c r="A2739" i="1"/>
  <c r="B2739" i="1"/>
  <c r="A2740" i="1"/>
  <c r="B2740" i="1"/>
  <c r="A2741" i="1"/>
  <c r="B2741" i="1"/>
  <c r="A2742" i="1"/>
  <c r="B2742" i="1"/>
  <c r="A2743" i="1"/>
  <c r="B2743" i="1"/>
  <c r="A2744" i="1"/>
  <c r="B2744" i="1"/>
  <c r="A2745" i="1"/>
  <c r="B2745" i="1"/>
  <c r="A2746" i="1"/>
  <c r="B2746" i="1"/>
  <c r="A2747" i="1"/>
  <c r="B2747" i="1"/>
  <c r="A2748" i="1"/>
  <c r="B2748" i="1"/>
  <c r="A2749" i="1"/>
  <c r="B2749" i="1"/>
  <c r="A2750" i="1"/>
  <c r="B2750" i="1"/>
  <c r="A2751" i="1"/>
  <c r="B2751" i="1"/>
  <c r="A2752" i="1"/>
  <c r="B2752" i="1"/>
  <c r="A2753" i="1"/>
  <c r="B2753" i="1"/>
  <c r="A2754" i="1"/>
  <c r="B2754" i="1"/>
  <c r="A2755" i="1"/>
  <c r="B2755" i="1"/>
  <c r="A2756" i="1"/>
  <c r="B2756" i="1"/>
  <c r="A2757" i="1"/>
  <c r="B2757" i="1"/>
  <c r="A2758" i="1"/>
  <c r="B2758" i="1"/>
  <c r="A2759" i="1"/>
  <c r="B2759" i="1"/>
  <c r="A2760" i="1"/>
  <c r="B2760" i="1"/>
  <c r="A2761" i="1"/>
  <c r="A2762" i="1"/>
  <c r="B2762" i="1"/>
  <c r="A2763" i="1"/>
  <c r="B2763" i="1"/>
  <c r="A2764" i="1"/>
  <c r="B2764" i="1"/>
  <c r="A2765" i="1"/>
  <c r="B2765" i="1"/>
  <c r="A2766" i="1"/>
  <c r="A2767" i="1"/>
  <c r="B2767" i="1"/>
  <c r="A2768" i="1"/>
  <c r="B2768" i="1"/>
  <c r="A2769" i="1"/>
  <c r="B2769" i="1"/>
  <c r="A2770" i="1"/>
  <c r="B2770" i="1"/>
  <c r="A2771" i="1"/>
  <c r="B2771" i="1"/>
  <c r="A2772" i="1"/>
  <c r="B2772" i="1"/>
  <c r="A2773" i="1"/>
  <c r="A2774" i="1"/>
  <c r="B2774" i="1"/>
  <c r="A2775" i="1"/>
  <c r="A2776" i="1"/>
  <c r="B2776" i="1"/>
  <c r="A2777" i="1"/>
  <c r="B2777" i="1"/>
  <c r="A2778" i="1"/>
  <c r="B2778" i="1"/>
  <c r="A2779" i="1"/>
  <c r="B2779" i="1"/>
  <c r="A2780" i="1"/>
  <c r="B2780" i="1"/>
  <c r="A2781" i="1"/>
  <c r="B2781" i="1"/>
  <c r="A2782" i="1"/>
  <c r="A2783" i="1"/>
  <c r="B2783" i="1"/>
  <c r="A2784" i="1"/>
  <c r="B2784" i="1"/>
  <c r="A2785" i="1"/>
  <c r="B2785" i="1"/>
  <c r="A2786" i="1"/>
  <c r="B2786" i="1"/>
  <c r="A2787" i="1"/>
  <c r="B2787" i="1"/>
  <c r="A2788" i="1"/>
  <c r="B2788" i="1"/>
  <c r="A2789" i="1"/>
  <c r="B2789" i="1"/>
  <c r="A2790" i="1"/>
  <c r="B2790" i="1"/>
  <c r="A2791" i="1"/>
  <c r="B2791" i="1"/>
  <c r="A2792" i="1"/>
  <c r="B2792" i="1"/>
  <c r="A2793" i="1"/>
  <c r="B2793" i="1"/>
  <c r="A2794" i="1"/>
  <c r="B2794" i="1"/>
  <c r="A2795" i="1"/>
  <c r="B2795" i="1"/>
  <c r="A2796" i="1"/>
  <c r="A2797" i="1"/>
  <c r="B2797" i="1"/>
  <c r="A2798" i="1"/>
  <c r="B2798" i="1"/>
  <c r="A2799" i="1"/>
  <c r="B2799" i="1"/>
  <c r="A2800" i="1"/>
  <c r="B2800" i="1"/>
  <c r="A2801" i="1"/>
  <c r="B2801" i="1"/>
  <c r="A2802" i="1"/>
  <c r="B2802" i="1"/>
  <c r="A2803" i="1"/>
  <c r="B2803" i="1"/>
  <c r="A2804" i="1"/>
  <c r="B2804" i="1"/>
  <c r="A2805" i="1"/>
  <c r="B2805" i="1"/>
  <c r="A2806" i="1"/>
  <c r="B2806" i="1"/>
  <c r="A2807" i="1"/>
  <c r="B2807" i="1"/>
  <c r="A2808" i="1"/>
  <c r="B2808" i="1"/>
  <c r="A2809" i="1"/>
  <c r="B2809" i="1"/>
  <c r="A2810" i="1"/>
  <c r="B2810" i="1"/>
  <c r="A2811" i="1"/>
  <c r="B2811" i="1"/>
  <c r="A2812" i="1"/>
  <c r="B2812" i="1"/>
  <c r="A2813" i="1"/>
  <c r="B2813" i="1"/>
  <c r="A2814" i="1"/>
  <c r="B2814" i="1"/>
  <c r="A2815" i="1"/>
  <c r="B2815" i="1"/>
  <c r="A2816" i="1"/>
  <c r="B2816" i="1"/>
  <c r="A2817" i="1"/>
  <c r="B2817" i="1"/>
  <c r="A2818" i="1"/>
  <c r="B2818" i="1"/>
  <c r="A2819" i="1"/>
  <c r="B2819" i="1"/>
  <c r="A2820" i="1"/>
  <c r="A2821" i="1"/>
  <c r="B2821" i="1"/>
  <c r="A2822" i="1"/>
  <c r="B2822" i="1"/>
  <c r="A2823" i="1"/>
  <c r="B2823" i="1"/>
  <c r="A2824" i="1"/>
  <c r="B2824" i="1"/>
  <c r="A2825" i="1"/>
  <c r="B2825" i="1"/>
  <c r="A2826" i="1"/>
  <c r="B2826" i="1"/>
  <c r="A2827" i="1"/>
  <c r="B2827" i="1"/>
  <c r="A2828" i="1"/>
  <c r="B2828" i="1"/>
  <c r="A2829" i="1"/>
  <c r="B2829" i="1"/>
  <c r="A2830" i="1"/>
  <c r="B2830" i="1"/>
  <c r="A2831" i="1"/>
  <c r="B2831" i="1"/>
  <c r="A2832" i="1"/>
  <c r="B2832" i="1"/>
  <c r="A2833" i="1"/>
  <c r="B2833" i="1"/>
  <c r="A2834" i="1"/>
  <c r="B2834" i="1"/>
  <c r="A2835" i="1"/>
  <c r="B2835" i="1"/>
  <c r="A2836" i="1"/>
  <c r="B2836" i="1"/>
  <c r="A2837" i="1"/>
  <c r="B2837" i="1"/>
  <c r="A2838" i="1"/>
  <c r="A2839" i="1"/>
  <c r="B2839" i="1"/>
  <c r="A2840" i="1"/>
  <c r="B2840" i="1"/>
  <c r="A2841" i="1"/>
  <c r="B2841" i="1"/>
  <c r="A2842" i="1"/>
  <c r="B2842" i="1"/>
  <c r="A2843" i="1"/>
  <c r="B2843" i="1"/>
  <c r="A2844" i="1"/>
  <c r="B2844" i="1"/>
  <c r="A2845" i="1"/>
  <c r="B2845" i="1"/>
  <c r="A2846" i="1"/>
  <c r="B2846" i="1"/>
  <c r="A2847" i="1"/>
  <c r="B2847" i="1"/>
  <c r="A2848" i="1"/>
  <c r="B2848" i="1"/>
  <c r="A2849" i="1"/>
  <c r="B2849" i="1"/>
  <c r="A2850" i="1"/>
  <c r="B2850" i="1"/>
  <c r="A2851" i="1"/>
  <c r="B2851" i="1"/>
  <c r="A2852" i="1"/>
  <c r="B2852" i="1"/>
  <c r="A2853" i="1"/>
  <c r="B2853" i="1"/>
  <c r="A2854" i="1"/>
  <c r="B2854" i="1"/>
  <c r="A2855" i="1"/>
  <c r="B2855" i="1"/>
  <c r="A2856" i="1"/>
  <c r="B2856" i="1"/>
  <c r="A2857" i="1"/>
  <c r="B2857" i="1"/>
  <c r="A2858" i="1"/>
  <c r="B2858" i="1"/>
  <c r="A2859" i="1"/>
  <c r="B2859" i="1"/>
  <c r="A2860" i="1"/>
  <c r="B2860" i="1"/>
  <c r="A2861" i="1"/>
  <c r="B2861" i="1"/>
  <c r="A2862" i="1"/>
  <c r="B2862" i="1"/>
  <c r="A2863" i="1"/>
  <c r="B2863" i="1"/>
  <c r="A2864" i="1"/>
  <c r="B2864" i="1"/>
  <c r="A2865" i="1"/>
  <c r="B2865" i="1"/>
  <c r="A2866" i="1"/>
  <c r="B2866" i="1"/>
  <c r="A2867" i="1"/>
  <c r="B2867" i="1"/>
  <c r="A2868" i="1"/>
  <c r="B2868" i="1"/>
  <c r="A2869" i="1"/>
  <c r="B2869" i="1"/>
  <c r="A2870" i="1"/>
  <c r="B2870" i="1"/>
  <c r="A2871" i="1"/>
  <c r="B2871" i="1"/>
  <c r="A2872" i="1"/>
  <c r="B2872" i="1"/>
  <c r="A2873" i="1"/>
  <c r="B2873" i="1"/>
  <c r="A2874" i="1"/>
  <c r="B2874" i="1"/>
  <c r="A2875" i="1"/>
  <c r="B2875" i="1"/>
  <c r="A2876" i="1"/>
  <c r="B2876" i="1"/>
  <c r="A2877" i="1"/>
  <c r="A2878" i="1"/>
  <c r="B2878" i="1"/>
  <c r="A2879" i="1"/>
  <c r="B2879" i="1"/>
  <c r="A2880" i="1"/>
  <c r="B2880" i="1"/>
  <c r="A2881" i="1"/>
  <c r="B2881" i="1"/>
  <c r="A2882" i="1"/>
  <c r="B2882" i="1"/>
  <c r="A2883" i="1"/>
  <c r="B2883" i="1"/>
  <c r="A2884" i="1"/>
  <c r="B2884" i="1"/>
  <c r="A2885" i="1"/>
  <c r="A2886" i="1"/>
  <c r="B2886" i="1"/>
  <c r="A2887" i="1"/>
  <c r="B2887" i="1"/>
  <c r="A2888" i="1"/>
  <c r="B2888" i="1"/>
  <c r="A2889" i="1"/>
  <c r="B2889" i="1"/>
  <c r="A2890" i="1"/>
  <c r="B2890" i="1"/>
  <c r="A2891" i="1"/>
  <c r="B2891" i="1"/>
  <c r="A2892" i="1"/>
  <c r="B2892" i="1"/>
  <c r="A2893" i="1"/>
  <c r="A2894" i="1"/>
  <c r="A2895" i="1"/>
  <c r="B2895" i="1"/>
  <c r="A2896" i="1"/>
  <c r="B2896" i="1"/>
  <c r="A2897" i="1"/>
  <c r="B2897" i="1"/>
  <c r="A2898" i="1"/>
  <c r="B2898" i="1"/>
  <c r="A2899" i="1"/>
  <c r="B2899" i="1"/>
  <c r="A2900" i="1"/>
  <c r="B2900" i="1"/>
  <c r="A2901" i="1"/>
  <c r="B2901" i="1"/>
  <c r="A2902" i="1"/>
  <c r="B2902" i="1"/>
  <c r="A2903" i="1"/>
  <c r="B2903" i="1"/>
  <c r="A2904" i="1"/>
  <c r="A2905" i="1"/>
  <c r="A2906" i="1"/>
  <c r="B2906" i="1"/>
  <c r="A2907" i="1"/>
  <c r="B2907" i="1"/>
  <c r="A2908" i="1"/>
  <c r="A2909" i="1"/>
  <c r="B2909" i="1"/>
  <c r="A2910" i="1"/>
  <c r="A2911" i="1"/>
  <c r="A2912" i="1"/>
  <c r="A2913" i="1"/>
  <c r="B2913" i="1"/>
  <c r="A2914" i="1"/>
  <c r="A2915" i="1"/>
  <c r="B2915" i="1"/>
  <c r="A2916" i="1"/>
  <c r="B2916" i="1"/>
  <c r="A2917" i="1"/>
  <c r="B2917" i="1"/>
  <c r="A2918" i="1"/>
  <c r="B2918" i="1"/>
  <c r="A2919" i="1"/>
  <c r="B2919" i="1"/>
  <c r="A2920" i="1"/>
  <c r="B2920" i="1"/>
  <c r="A2921" i="1"/>
  <c r="B2921" i="1"/>
  <c r="A2922" i="1"/>
  <c r="A2923" i="1"/>
  <c r="A2924" i="1"/>
  <c r="B2924" i="1"/>
  <c r="A2925" i="1"/>
  <c r="B2925" i="1"/>
  <c r="A2926" i="1"/>
  <c r="A2927" i="1"/>
  <c r="B2927" i="1"/>
  <c r="A2928" i="1"/>
  <c r="B2928" i="1"/>
  <c r="A2929" i="1"/>
  <c r="B2929" i="1"/>
  <c r="A2930" i="1"/>
  <c r="B2930" i="1"/>
  <c r="A2931" i="1"/>
  <c r="B2931" i="1"/>
  <c r="A2932" i="1"/>
  <c r="B2932" i="1"/>
  <c r="A2933" i="1"/>
  <c r="B2933" i="1"/>
  <c r="A2934" i="1"/>
  <c r="B2934" i="1"/>
  <c r="A2935" i="1"/>
  <c r="B2935" i="1"/>
  <c r="A2936" i="1"/>
  <c r="B2936" i="1"/>
  <c r="A2937" i="1"/>
  <c r="B2937" i="1"/>
  <c r="A2938" i="1"/>
  <c r="B2938" i="1"/>
  <c r="A2939" i="1"/>
  <c r="B2939" i="1"/>
  <c r="A2940" i="1"/>
  <c r="B2940" i="1"/>
  <c r="A2941" i="1"/>
  <c r="B2941" i="1"/>
  <c r="A2942" i="1"/>
  <c r="B2942" i="1"/>
  <c r="A2943" i="1"/>
  <c r="B2943" i="1"/>
  <c r="A2944" i="1"/>
  <c r="B2944" i="1"/>
  <c r="A2945" i="1"/>
  <c r="B2945" i="1"/>
  <c r="A2946" i="1"/>
  <c r="B2946" i="1"/>
  <c r="A2947" i="1"/>
  <c r="B2947" i="1"/>
  <c r="A2948" i="1"/>
  <c r="B2948" i="1"/>
  <c r="A2949" i="1"/>
  <c r="B2949" i="1"/>
  <c r="A2950" i="1"/>
  <c r="B2950" i="1"/>
  <c r="A2951" i="1"/>
  <c r="B2951" i="1"/>
  <c r="A2952" i="1"/>
  <c r="A2953" i="1"/>
  <c r="B2953" i="1"/>
  <c r="A2954" i="1"/>
  <c r="A2955" i="1"/>
  <c r="B2955" i="1"/>
  <c r="A2956" i="1"/>
  <c r="B2956" i="1"/>
  <c r="A2957" i="1"/>
  <c r="B2957" i="1"/>
  <c r="A2958" i="1"/>
  <c r="B2958" i="1"/>
  <c r="A2959" i="1"/>
  <c r="B2959" i="1"/>
  <c r="A2960" i="1"/>
  <c r="B2960" i="1"/>
  <c r="A2961" i="1"/>
  <c r="B2961" i="1"/>
  <c r="A2962" i="1"/>
  <c r="B2962" i="1"/>
  <c r="A2963" i="1"/>
  <c r="A2964" i="1"/>
  <c r="A2965" i="1"/>
  <c r="B2965" i="1"/>
  <c r="A2966" i="1"/>
  <c r="B2966" i="1"/>
  <c r="A2967" i="1"/>
  <c r="B2967" i="1"/>
  <c r="A2968" i="1"/>
  <c r="B2968" i="1"/>
  <c r="A2969" i="1"/>
  <c r="B2969" i="1"/>
  <c r="A2970" i="1"/>
  <c r="B2970" i="1"/>
  <c r="A2971" i="1"/>
  <c r="B2971" i="1"/>
  <c r="A2972" i="1"/>
  <c r="B2972" i="1"/>
  <c r="A2973" i="1"/>
  <c r="B2973" i="1"/>
  <c r="A2974" i="1"/>
  <c r="B2974" i="1"/>
  <c r="A2975" i="1"/>
  <c r="B2975" i="1"/>
  <c r="A2976" i="1"/>
  <c r="B2976" i="1"/>
  <c r="A2977" i="1"/>
  <c r="B2977" i="1"/>
  <c r="A2978" i="1"/>
  <c r="B2978" i="1"/>
  <c r="A2979" i="1"/>
  <c r="B2979" i="1"/>
  <c r="A2980" i="1"/>
  <c r="B2980" i="1"/>
  <c r="A2981" i="1"/>
  <c r="B2981" i="1"/>
  <c r="A2982" i="1"/>
  <c r="B2982" i="1"/>
  <c r="A2983" i="1"/>
  <c r="B2983" i="1"/>
  <c r="A2984" i="1"/>
  <c r="B2984" i="1"/>
  <c r="A2985" i="1"/>
  <c r="B2985" i="1"/>
  <c r="A2986" i="1"/>
  <c r="B2986" i="1"/>
  <c r="A2987" i="1"/>
  <c r="A2988" i="1"/>
  <c r="B2988" i="1"/>
  <c r="A2989" i="1"/>
  <c r="A2990" i="1"/>
  <c r="A2991" i="1"/>
  <c r="A2992" i="1"/>
  <c r="B2992" i="1"/>
  <c r="A2993" i="1"/>
  <c r="B2993" i="1"/>
  <c r="A2994" i="1"/>
  <c r="A2995" i="1"/>
  <c r="B2995" i="1"/>
  <c r="A2996" i="1"/>
  <c r="B2996" i="1"/>
  <c r="A2997" i="1"/>
  <c r="A2998" i="1"/>
  <c r="B2998" i="1"/>
  <c r="A2999" i="1"/>
  <c r="B2999" i="1"/>
  <c r="A3000" i="1"/>
  <c r="B3000" i="1"/>
  <c r="A3001" i="1"/>
  <c r="B3001" i="1"/>
  <c r="A3002" i="1"/>
  <c r="A3003" i="1"/>
  <c r="B3003" i="1"/>
  <c r="A3004" i="1"/>
  <c r="B3004" i="1"/>
  <c r="A3005" i="1"/>
  <c r="B3005" i="1"/>
  <c r="A3006" i="1"/>
  <c r="A3007" i="1"/>
  <c r="A3008" i="1"/>
  <c r="A3009" i="1"/>
  <c r="B3009" i="1"/>
  <c r="A3010" i="1"/>
  <c r="B3010" i="1"/>
  <c r="A3011" i="1"/>
  <c r="B3011" i="1"/>
  <c r="A3012" i="1"/>
  <c r="B3012" i="1"/>
  <c r="A3013" i="1"/>
  <c r="B3013" i="1"/>
  <c r="A3014" i="1"/>
  <c r="B3014" i="1"/>
  <c r="A3015" i="1"/>
  <c r="A3016" i="1"/>
  <c r="B3016" i="1"/>
  <c r="A3017" i="1"/>
  <c r="B3017" i="1"/>
  <c r="A3018" i="1"/>
  <c r="B3018" i="1"/>
  <c r="A3019" i="1"/>
  <c r="A3020" i="1"/>
  <c r="B3020" i="1"/>
  <c r="A3021" i="1"/>
  <c r="B3021" i="1"/>
  <c r="A3022" i="1"/>
  <c r="B3022" i="1"/>
  <c r="A3023" i="1"/>
  <c r="B3023" i="1"/>
  <c r="A3024" i="1"/>
  <c r="B3024" i="1"/>
  <c r="A3025" i="1"/>
  <c r="B3025" i="1"/>
  <c r="A3026" i="1"/>
  <c r="B3026" i="1"/>
  <c r="A3027" i="1"/>
  <c r="A3028" i="1"/>
  <c r="A3029" i="1"/>
  <c r="A3030" i="1"/>
  <c r="A3031" i="1"/>
  <c r="B3031" i="1"/>
  <c r="A3032" i="1"/>
  <c r="A3033" i="1"/>
  <c r="B3033" i="1"/>
  <c r="A3034" i="1"/>
  <c r="B3034" i="1"/>
  <c r="A3035" i="1"/>
  <c r="B3035" i="1"/>
  <c r="A3036" i="1"/>
  <c r="B3036" i="1"/>
  <c r="A3037" i="1"/>
  <c r="A3038" i="1"/>
  <c r="A3039" i="1"/>
  <c r="B3039" i="1"/>
  <c r="A3040" i="1"/>
  <c r="A3041" i="1"/>
  <c r="B3041" i="1"/>
  <c r="A3042" i="1"/>
  <c r="B3042" i="1"/>
  <c r="A3043" i="1"/>
  <c r="B3043" i="1"/>
  <c r="A3044" i="1"/>
  <c r="A3045" i="1"/>
  <c r="B3045" i="1"/>
  <c r="A3046" i="1"/>
  <c r="B3046" i="1"/>
  <c r="A3047" i="1"/>
  <c r="B3047" i="1"/>
  <c r="A3048" i="1"/>
  <c r="A3049" i="1"/>
  <c r="B3049" i="1"/>
  <c r="A3050" i="1"/>
  <c r="B3050" i="1"/>
  <c r="A3051" i="1"/>
  <c r="B3051" i="1"/>
  <c r="A3052" i="1"/>
  <c r="B3052" i="1"/>
  <c r="A3053" i="1"/>
  <c r="B3053" i="1"/>
  <c r="A3054" i="1"/>
  <c r="B3054" i="1"/>
  <c r="A3055" i="1"/>
  <c r="B3055" i="1"/>
  <c r="A3056" i="1"/>
  <c r="B3056" i="1"/>
  <c r="A3057" i="1"/>
  <c r="B3057" i="1"/>
  <c r="A3058" i="1"/>
  <c r="B3058" i="1"/>
  <c r="A3059" i="1"/>
  <c r="B3059" i="1"/>
  <c r="A3060" i="1"/>
  <c r="A3061" i="1"/>
  <c r="B3061" i="1"/>
  <c r="A3062" i="1"/>
  <c r="A3063" i="1"/>
  <c r="B3063" i="1"/>
  <c r="A3064" i="1"/>
  <c r="B3064" i="1"/>
  <c r="A3065" i="1"/>
  <c r="B3065" i="1"/>
  <c r="A3066" i="1"/>
  <c r="B3066" i="1"/>
  <c r="A3067" i="1"/>
  <c r="B3067" i="1"/>
  <c r="A3068" i="1"/>
  <c r="B3068" i="1"/>
  <c r="A3069" i="1"/>
  <c r="B3069" i="1"/>
  <c r="A3070" i="1"/>
  <c r="B3070" i="1"/>
  <c r="A3071" i="1"/>
  <c r="B3071" i="1"/>
  <c r="A3072" i="1"/>
  <c r="A3073" i="1"/>
  <c r="B3073" i="1"/>
  <c r="A3074" i="1"/>
  <c r="B3074" i="1"/>
  <c r="A3075" i="1"/>
  <c r="B3075" i="1"/>
  <c r="A3076" i="1"/>
  <c r="B3076" i="1"/>
  <c r="A3077" i="1"/>
  <c r="B3077" i="1"/>
  <c r="A3078" i="1"/>
  <c r="B3078" i="1"/>
  <c r="A3079" i="1"/>
  <c r="B3079" i="1"/>
  <c r="A3080" i="1"/>
  <c r="A3081" i="1"/>
  <c r="A3082" i="1"/>
  <c r="A3083" i="1"/>
  <c r="B3083" i="1"/>
  <c r="A3084" i="1"/>
  <c r="B3084" i="1"/>
  <c r="A3085" i="1"/>
  <c r="B3085" i="1"/>
  <c r="A3086" i="1"/>
  <c r="B3086" i="1"/>
  <c r="A3087" i="1"/>
  <c r="B3087" i="1"/>
  <c r="A3088" i="1"/>
  <c r="B3088" i="1"/>
  <c r="A3089" i="1"/>
  <c r="A3090" i="1"/>
  <c r="B3090" i="1"/>
  <c r="A3091" i="1"/>
  <c r="A3092" i="1"/>
  <c r="B3092" i="1"/>
  <c r="A3093" i="1"/>
  <c r="B3093" i="1"/>
  <c r="A3094" i="1"/>
  <c r="B3094" i="1"/>
  <c r="A3095" i="1"/>
  <c r="A3096" i="1"/>
  <c r="A3097" i="1"/>
  <c r="A3098" i="1"/>
  <c r="A3099" i="1"/>
  <c r="A3100" i="1"/>
  <c r="A3101" i="1"/>
  <c r="B3101" i="1"/>
  <c r="A3102" i="1"/>
  <c r="B3102" i="1"/>
  <c r="A3103" i="1"/>
  <c r="A3104" i="1"/>
  <c r="A3105" i="1"/>
  <c r="B3105" i="1"/>
  <c r="A3106" i="1"/>
  <c r="A3107" i="1"/>
  <c r="B3107" i="1"/>
  <c r="A3108" i="1"/>
  <c r="A3109" i="1"/>
  <c r="B3109" i="1"/>
  <c r="A3110" i="1"/>
  <c r="A3111" i="1"/>
  <c r="B3111" i="1"/>
  <c r="A3112" i="1"/>
  <c r="B3112" i="1"/>
  <c r="A3113" i="1"/>
  <c r="B3113" i="1"/>
  <c r="A3114" i="1"/>
  <c r="B3114" i="1"/>
  <c r="A3115" i="1"/>
  <c r="A3116" i="1"/>
  <c r="B3116" i="1"/>
  <c r="A3117" i="1"/>
  <c r="B3117" i="1"/>
  <c r="A3118" i="1"/>
  <c r="B3118" i="1"/>
  <c r="A3119" i="1"/>
  <c r="B3119" i="1"/>
  <c r="A3120" i="1"/>
  <c r="B3120" i="1"/>
  <c r="A3121" i="1"/>
  <c r="B3121" i="1"/>
  <c r="A3122" i="1"/>
  <c r="B3122" i="1"/>
  <c r="A3123" i="1"/>
  <c r="B3123" i="1"/>
  <c r="A3124" i="1"/>
  <c r="B3124" i="1"/>
  <c r="A3125" i="1"/>
  <c r="A3126" i="1"/>
  <c r="A3127" i="1"/>
  <c r="B3127" i="1"/>
  <c r="A3128" i="1"/>
  <c r="B3128" i="1"/>
  <c r="A3129" i="1"/>
  <c r="B3129" i="1"/>
  <c r="A3130" i="1"/>
  <c r="B3130" i="1"/>
  <c r="A3131" i="1"/>
  <c r="A3132" i="1"/>
  <c r="B3132" i="1"/>
  <c r="A3133" i="1"/>
  <c r="B3133" i="1"/>
  <c r="A3134" i="1"/>
  <c r="B3134" i="1"/>
  <c r="A3135" i="1"/>
  <c r="B3135" i="1"/>
  <c r="A3136" i="1"/>
  <c r="B3136" i="1"/>
  <c r="A3137" i="1"/>
  <c r="B3137" i="1"/>
  <c r="A3138" i="1"/>
  <c r="A3139" i="1"/>
  <c r="A3140" i="1"/>
  <c r="A3141" i="1"/>
  <c r="A3142" i="1"/>
  <c r="A3143" i="1"/>
  <c r="B3143" i="1"/>
  <c r="A3144" i="1"/>
  <c r="B3144" i="1"/>
  <c r="A3145" i="1"/>
  <c r="B3145" i="1"/>
  <c r="A3146" i="1"/>
  <c r="B3146" i="1"/>
  <c r="A3147" i="1"/>
  <c r="B3147" i="1"/>
  <c r="A3148" i="1"/>
  <c r="B3148" i="1"/>
  <c r="A3149" i="1"/>
  <c r="B3149" i="1"/>
  <c r="A3150" i="1"/>
  <c r="B3150" i="1"/>
  <c r="A3151" i="1"/>
  <c r="B3151" i="1"/>
  <c r="A3152" i="1"/>
  <c r="B3152" i="1"/>
  <c r="A3153" i="1"/>
  <c r="A3154" i="1"/>
  <c r="B3154" i="1"/>
  <c r="A3155" i="1"/>
  <c r="B3155" i="1"/>
  <c r="A3156" i="1"/>
  <c r="A3157" i="1"/>
  <c r="B3157" i="1"/>
  <c r="A3158" i="1"/>
  <c r="A3159" i="1"/>
  <c r="A3160" i="1"/>
  <c r="A3161" i="1"/>
  <c r="A3162" i="1"/>
  <c r="B3162" i="1"/>
  <c r="A3163" i="1"/>
  <c r="B3163" i="1"/>
  <c r="A3164" i="1"/>
  <c r="B3164" i="1"/>
  <c r="A3165" i="1"/>
  <c r="A3166" i="1"/>
  <c r="A3167" i="1"/>
  <c r="B3167" i="1"/>
  <c r="A3168" i="1"/>
  <c r="B3168" i="1"/>
  <c r="A3169" i="1"/>
  <c r="B3169" i="1"/>
  <c r="A3170" i="1"/>
  <c r="B3170" i="1"/>
  <c r="A3171" i="1"/>
  <c r="A3172" i="1"/>
  <c r="B3172" i="1"/>
  <c r="A3173" i="1"/>
  <c r="A3174" i="1"/>
  <c r="A3175" i="1"/>
  <c r="B3175" i="1"/>
  <c r="A3176" i="1"/>
  <c r="B3176" i="1"/>
  <c r="A3177" i="1"/>
  <c r="B3177" i="1"/>
  <c r="A3178" i="1"/>
  <c r="B3178" i="1"/>
  <c r="A3179" i="1"/>
  <c r="B3179" i="1"/>
  <c r="A3180" i="1"/>
  <c r="B3180" i="1"/>
  <c r="A3181" i="1"/>
  <c r="B3181" i="1"/>
  <c r="A3182" i="1"/>
  <c r="A3183" i="1"/>
  <c r="B3183" i="1"/>
  <c r="A3184" i="1"/>
  <c r="B3184" i="1"/>
  <c r="A3185" i="1"/>
  <c r="B3185" i="1"/>
  <c r="A3186" i="1"/>
  <c r="B3186" i="1"/>
  <c r="A3187" i="1"/>
  <c r="B3187" i="1"/>
  <c r="A3188" i="1"/>
  <c r="B3188" i="1"/>
  <c r="A3189" i="1"/>
  <c r="A3190" i="1"/>
  <c r="B3190" i="1"/>
  <c r="A3191" i="1"/>
  <c r="A3192" i="1"/>
  <c r="B3192" i="1"/>
  <c r="A3193" i="1"/>
  <c r="B3193" i="1"/>
  <c r="A3194" i="1"/>
  <c r="B3194" i="1"/>
  <c r="A3195" i="1"/>
  <c r="B3195" i="1"/>
  <c r="A3196" i="1"/>
  <c r="B3196" i="1"/>
  <c r="A3197" i="1"/>
  <c r="B3197" i="1"/>
  <c r="A3198" i="1"/>
  <c r="B3198" i="1"/>
  <c r="A3199" i="1"/>
  <c r="B3199" i="1"/>
  <c r="A3200" i="1"/>
  <c r="B3200" i="1"/>
  <c r="A3201" i="1"/>
  <c r="B3201" i="1"/>
  <c r="A3202" i="1"/>
  <c r="B3202" i="1"/>
  <c r="A3203" i="1"/>
  <c r="B3203" i="1"/>
  <c r="A3204" i="1"/>
  <c r="B3204" i="1"/>
  <c r="A3205" i="1"/>
  <c r="A3206" i="1"/>
  <c r="B3206" i="1"/>
  <c r="A3207" i="1"/>
  <c r="B3207" i="1"/>
  <c r="A3208" i="1"/>
  <c r="B3208" i="1"/>
  <c r="A3209" i="1"/>
  <c r="B3209" i="1"/>
  <c r="A3210" i="1"/>
  <c r="B3210" i="1"/>
  <c r="A3211" i="1"/>
  <c r="A3212" i="1"/>
  <c r="A3213" i="1"/>
  <c r="B3213" i="1"/>
  <c r="A3214" i="1"/>
  <c r="B3214" i="1"/>
  <c r="A3215" i="1"/>
  <c r="A3216" i="1"/>
  <c r="B3216" i="1"/>
  <c r="A3217" i="1"/>
  <c r="B3217" i="1"/>
  <c r="A3218" i="1"/>
  <c r="B3218" i="1"/>
  <c r="A3219" i="1"/>
  <c r="B3219" i="1"/>
  <c r="A3220" i="1"/>
  <c r="B3220" i="1"/>
  <c r="A3221" i="1"/>
  <c r="B3221" i="1"/>
  <c r="A3222" i="1"/>
  <c r="B3222" i="1"/>
  <c r="A3223" i="1"/>
  <c r="B3223" i="1"/>
  <c r="A3224" i="1"/>
  <c r="B3224" i="1"/>
  <c r="A3225" i="1"/>
  <c r="B3225" i="1"/>
  <c r="A3226" i="1"/>
  <c r="A3227" i="1"/>
  <c r="B3227" i="1"/>
  <c r="A3228" i="1"/>
  <c r="B3228" i="1"/>
  <c r="A3229" i="1"/>
  <c r="B3229" i="1"/>
  <c r="A3230" i="1"/>
  <c r="A3231" i="1"/>
  <c r="B3231" i="1"/>
  <c r="A3232" i="1"/>
  <c r="B3232" i="1"/>
  <c r="A3233" i="1"/>
  <c r="B3233" i="1"/>
  <c r="A3234" i="1"/>
  <c r="A3235" i="1"/>
  <c r="B3235" i="1"/>
  <c r="A3236" i="1"/>
  <c r="B3236" i="1"/>
  <c r="A3237" i="1"/>
  <c r="B3237" i="1"/>
  <c r="A3238" i="1"/>
  <c r="B3238" i="1"/>
  <c r="A3239" i="1"/>
  <c r="B3239" i="1"/>
  <c r="A3240" i="1"/>
  <c r="B3240" i="1"/>
  <c r="A3241" i="1"/>
  <c r="B3241" i="1"/>
  <c r="A3242" i="1"/>
  <c r="B3242" i="1"/>
  <c r="A3243" i="1"/>
  <c r="A3244" i="1"/>
  <c r="B3244" i="1"/>
  <c r="A3245" i="1"/>
  <c r="B3245" i="1"/>
  <c r="A3246" i="1"/>
  <c r="B3246" i="1"/>
  <c r="A3247" i="1"/>
  <c r="A3248" i="1"/>
  <c r="B3248" i="1"/>
  <c r="A3249" i="1"/>
  <c r="B3249" i="1"/>
  <c r="A3250" i="1"/>
  <c r="B3250" i="1"/>
  <c r="A3251" i="1"/>
  <c r="B3251" i="1"/>
  <c r="A3252" i="1"/>
  <c r="B3252" i="1"/>
  <c r="A3253" i="1"/>
  <c r="B3253" i="1"/>
  <c r="A3254" i="1"/>
  <c r="B3254" i="1"/>
  <c r="A3255" i="1"/>
  <c r="B3255" i="1"/>
  <c r="A3256" i="1"/>
  <c r="A3257" i="1"/>
  <c r="B3257" i="1"/>
  <c r="A3258" i="1"/>
  <c r="B3258" i="1"/>
  <c r="A3259" i="1"/>
  <c r="B3259" i="1"/>
  <c r="A3260" i="1"/>
  <c r="B3260" i="1"/>
  <c r="A3261" i="1"/>
  <c r="B3261" i="1"/>
  <c r="A3262" i="1"/>
  <c r="B3262" i="1"/>
  <c r="A3263" i="1"/>
  <c r="B3263" i="1"/>
  <c r="A3264" i="1"/>
  <c r="B3264" i="1"/>
  <c r="A3265" i="1"/>
  <c r="A3266" i="1"/>
  <c r="B3266" i="1"/>
  <c r="A3267" i="1"/>
  <c r="B3267" i="1"/>
  <c r="A3268" i="1"/>
  <c r="B3268" i="1"/>
  <c r="A3269" i="1"/>
  <c r="B3269" i="1"/>
  <c r="A3270" i="1"/>
  <c r="B3270" i="1"/>
  <c r="A3271" i="1"/>
  <c r="B3271" i="1"/>
  <c r="A3272" i="1"/>
  <c r="A3273" i="1"/>
  <c r="A3274" i="1"/>
  <c r="A3275" i="1"/>
  <c r="B3275" i="1"/>
  <c r="A3276" i="1"/>
  <c r="A3277" i="1"/>
  <c r="B3277" i="1"/>
  <c r="A3278" i="1"/>
  <c r="B3278" i="1"/>
  <c r="A3279" i="1"/>
  <c r="B3279" i="1"/>
  <c r="A3280" i="1"/>
  <c r="B3280" i="1"/>
  <c r="A3281" i="1"/>
  <c r="B3281" i="1"/>
  <c r="A3282" i="1"/>
  <c r="B3282" i="1"/>
  <c r="A3283" i="1"/>
  <c r="B3283" i="1"/>
  <c r="A3284" i="1"/>
  <c r="B3284" i="1"/>
  <c r="A3285" i="1"/>
  <c r="B3285" i="1"/>
  <c r="A3286" i="1"/>
  <c r="B3286" i="1"/>
  <c r="A3287" i="1"/>
  <c r="A3288" i="1"/>
  <c r="B3288" i="1"/>
  <c r="A3289" i="1"/>
  <c r="A3290" i="1"/>
  <c r="B3290" i="1"/>
  <c r="A3291" i="1"/>
  <c r="B3291" i="1"/>
  <c r="A3292" i="1"/>
  <c r="B3292" i="1"/>
  <c r="A3293" i="1"/>
  <c r="B3293" i="1"/>
  <c r="A3294" i="1"/>
  <c r="B3294" i="1"/>
  <c r="A3295" i="1"/>
  <c r="B3295" i="1"/>
  <c r="A3296" i="1"/>
  <c r="B3296" i="1"/>
  <c r="A3297" i="1"/>
  <c r="B3297" i="1"/>
  <c r="A3298" i="1"/>
  <c r="B3298" i="1"/>
  <c r="A3299" i="1"/>
  <c r="B3299" i="1"/>
  <c r="A3300" i="1"/>
  <c r="A3301" i="1"/>
  <c r="A3302" i="1"/>
  <c r="A3303" i="1"/>
  <c r="A3304" i="1"/>
  <c r="A3305" i="1"/>
  <c r="A3306" i="1"/>
  <c r="A3307" i="1"/>
  <c r="A3308" i="1"/>
  <c r="A3309" i="1"/>
  <c r="B3309" i="1"/>
  <c r="A3310" i="1"/>
  <c r="B3310" i="1"/>
  <c r="A3311" i="1"/>
  <c r="B3311" i="1"/>
  <c r="A3312" i="1"/>
  <c r="A3313" i="1"/>
  <c r="B3313" i="1"/>
  <c r="A3314" i="1"/>
  <c r="B3314" i="1"/>
  <c r="A3315" i="1"/>
  <c r="B3315" i="1"/>
  <c r="A3316" i="1"/>
  <c r="B3316" i="1"/>
  <c r="A3317" i="1"/>
  <c r="B3317" i="1"/>
  <c r="A3318" i="1"/>
  <c r="A3319" i="1"/>
  <c r="B3319" i="1"/>
  <c r="A3320" i="1"/>
  <c r="B3320" i="1"/>
  <c r="A3321" i="1"/>
  <c r="B3321" i="1"/>
  <c r="A3322" i="1"/>
  <c r="B3322" i="1"/>
  <c r="A3323" i="1"/>
  <c r="B3323" i="1"/>
  <c r="A3324" i="1"/>
  <c r="B3324" i="1"/>
  <c r="A3325" i="1"/>
  <c r="B3325" i="1"/>
  <c r="A3326" i="1"/>
  <c r="B3326" i="1"/>
  <c r="A3327" i="1"/>
  <c r="B3327" i="1"/>
  <c r="A3328" i="1"/>
  <c r="B3328" i="1"/>
  <c r="A3329" i="1"/>
  <c r="B3329" i="1"/>
  <c r="A3330" i="1"/>
  <c r="B3330" i="1"/>
  <c r="A3331" i="1"/>
  <c r="B3331" i="1"/>
  <c r="A3332" i="1"/>
  <c r="B3332" i="1"/>
  <c r="A3333" i="1"/>
  <c r="B3333" i="1"/>
  <c r="A3334" i="1"/>
  <c r="B3334" i="1"/>
  <c r="A3335" i="1"/>
  <c r="B3335" i="1"/>
  <c r="A3336" i="1"/>
  <c r="B3336" i="1"/>
  <c r="A3337" i="1"/>
  <c r="A3338" i="1"/>
  <c r="B3338" i="1"/>
  <c r="A3339" i="1"/>
  <c r="B3339" i="1"/>
  <c r="A3340" i="1"/>
  <c r="B3340" i="1"/>
  <c r="A3341" i="1"/>
  <c r="B3341" i="1"/>
  <c r="A3342" i="1"/>
  <c r="B3342" i="1"/>
  <c r="A3343" i="1"/>
  <c r="B3343" i="1"/>
  <c r="A3344" i="1"/>
  <c r="A3345" i="1"/>
  <c r="B3345" i="1"/>
  <c r="A3346" i="1"/>
  <c r="B3346" i="1"/>
  <c r="A3347" i="1"/>
  <c r="B3347" i="1"/>
  <c r="A3348" i="1"/>
  <c r="B3348" i="1"/>
  <c r="A3349" i="1"/>
  <c r="B3349" i="1"/>
  <c r="A3350" i="1"/>
  <c r="A3351" i="1"/>
  <c r="B3351" i="1"/>
  <c r="A3352" i="1"/>
  <c r="B3352" i="1"/>
  <c r="A3353" i="1"/>
  <c r="B3353" i="1"/>
  <c r="A3354" i="1"/>
  <c r="B3354" i="1"/>
  <c r="A3355" i="1"/>
  <c r="B3355" i="1"/>
  <c r="A3356" i="1"/>
  <c r="B3356" i="1"/>
  <c r="A3357" i="1"/>
  <c r="B3357" i="1"/>
  <c r="A3358" i="1"/>
  <c r="B3358" i="1"/>
  <c r="A3359" i="1"/>
  <c r="B3359" i="1"/>
  <c r="A3360" i="1"/>
  <c r="B3360" i="1"/>
  <c r="A3361" i="1"/>
  <c r="B3361" i="1"/>
  <c r="A3362" i="1"/>
  <c r="B3362" i="1"/>
  <c r="A3363" i="1"/>
  <c r="B3363" i="1"/>
  <c r="A3364" i="1"/>
  <c r="B3364" i="1"/>
  <c r="A3365" i="1"/>
  <c r="B3365" i="1"/>
  <c r="A3366" i="1"/>
  <c r="B3366" i="1"/>
  <c r="A3367" i="1"/>
  <c r="B3367" i="1"/>
  <c r="A3368" i="1"/>
  <c r="B3368" i="1"/>
  <c r="A3369" i="1"/>
  <c r="A3370" i="1"/>
  <c r="B3370" i="1"/>
  <c r="A3371" i="1"/>
  <c r="B3371" i="1"/>
  <c r="A3372" i="1"/>
  <c r="B3372" i="1"/>
  <c r="A3373" i="1"/>
  <c r="B3373" i="1"/>
  <c r="A3374" i="1"/>
  <c r="B3374" i="1"/>
  <c r="A3375" i="1"/>
  <c r="B3375" i="1"/>
  <c r="A3376" i="1"/>
  <c r="B3376" i="1"/>
  <c r="A3377" i="1"/>
  <c r="B3377" i="1"/>
  <c r="A3378" i="1"/>
  <c r="B3378" i="1"/>
  <c r="A3379" i="1"/>
  <c r="B3379" i="1"/>
  <c r="A3380" i="1"/>
  <c r="B3380" i="1"/>
  <c r="A3381" i="1"/>
  <c r="A3382" i="1"/>
  <c r="B3382" i="1"/>
  <c r="A3383" i="1"/>
  <c r="A3384" i="1"/>
  <c r="B3384" i="1"/>
  <c r="A3385" i="1"/>
  <c r="B3385" i="1"/>
  <c r="A3386" i="1"/>
  <c r="B3386" i="1"/>
  <c r="A3387" i="1"/>
  <c r="B3387" i="1"/>
  <c r="A3388" i="1"/>
  <c r="B3388" i="1"/>
  <c r="A3389" i="1"/>
  <c r="B3389" i="1"/>
  <c r="A3390" i="1"/>
  <c r="B3390" i="1"/>
  <c r="A3391" i="1"/>
  <c r="B3391" i="1"/>
  <c r="A3392" i="1"/>
  <c r="B3392" i="1"/>
  <c r="A3393" i="1"/>
  <c r="B3393" i="1"/>
  <c r="A3394" i="1"/>
  <c r="B3394" i="1"/>
  <c r="A3395" i="1"/>
  <c r="A3396" i="1"/>
  <c r="B3396" i="1"/>
  <c r="A3397" i="1"/>
  <c r="B3397" i="1"/>
  <c r="A3398" i="1"/>
  <c r="B3398" i="1"/>
  <c r="A3399" i="1"/>
  <c r="B3399" i="1"/>
  <c r="A3400" i="1"/>
  <c r="B3400" i="1"/>
  <c r="A3401" i="1"/>
  <c r="B3401" i="1"/>
  <c r="A3402" i="1"/>
  <c r="B3402" i="1"/>
  <c r="A3403" i="1"/>
  <c r="B3403" i="1"/>
  <c r="A3404" i="1"/>
  <c r="B3404" i="1"/>
  <c r="A3405" i="1"/>
  <c r="B3405" i="1"/>
  <c r="A3406" i="1"/>
  <c r="B3406" i="1"/>
  <c r="A3407" i="1"/>
  <c r="B3407" i="1"/>
  <c r="A3408" i="1"/>
  <c r="B3408" i="1"/>
  <c r="A3409" i="1"/>
  <c r="B3409" i="1"/>
  <c r="A3410" i="1"/>
  <c r="A3411" i="1"/>
  <c r="B3411" i="1"/>
  <c r="A3412" i="1"/>
  <c r="B3412" i="1"/>
  <c r="A3413" i="1"/>
  <c r="A3414" i="1"/>
  <c r="A3415" i="1"/>
  <c r="B3415" i="1"/>
  <c r="A3416" i="1"/>
  <c r="B3416" i="1"/>
  <c r="A3417" i="1"/>
  <c r="A3418" i="1"/>
  <c r="B3418" i="1"/>
  <c r="A3419" i="1"/>
  <c r="A3420" i="1"/>
  <c r="B3420" i="1"/>
  <c r="A3421" i="1"/>
  <c r="B3421" i="1"/>
  <c r="A3422" i="1"/>
  <c r="A3423" i="1"/>
  <c r="B3423" i="1"/>
  <c r="A3424" i="1"/>
  <c r="A3425" i="1"/>
  <c r="A3426" i="1"/>
  <c r="B3426" i="1"/>
  <c r="A3427" i="1"/>
  <c r="A3428" i="1"/>
  <c r="A3429" i="1"/>
  <c r="B3429" i="1"/>
  <c r="A3430" i="1"/>
  <c r="B3430" i="1"/>
  <c r="A3431" i="1"/>
  <c r="B3431" i="1"/>
  <c r="A3432" i="1"/>
  <c r="B3432" i="1"/>
  <c r="A3433" i="1"/>
  <c r="B3433" i="1"/>
  <c r="A3434" i="1"/>
  <c r="B3434" i="1"/>
  <c r="A3435" i="1"/>
  <c r="B3435" i="1"/>
  <c r="A3436" i="1"/>
  <c r="B3436" i="1"/>
  <c r="A3437" i="1"/>
  <c r="B3437" i="1"/>
  <c r="A3438" i="1"/>
  <c r="B3438" i="1"/>
  <c r="A3439" i="1"/>
  <c r="B3439" i="1"/>
  <c r="A3440" i="1"/>
  <c r="B3440" i="1"/>
  <c r="A3441" i="1"/>
  <c r="B3441" i="1"/>
  <c r="A3442" i="1"/>
  <c r="B3442" i="1"/>
  <c r="A3443" i="1"/>
  <c r="B3443" i="1"/>
  <c r="A3444" i="1"/>
  <c r="B3444" i="1"/>
  <c r="A3445" i="1"/>
  <c r="B3445" i="1"/>
  <c r="A3446" i="1"/>
  <c r="B3446" i="1"/>
  <c r="A3447" i="1"/>
  <c r="B3447" i="1"/>
  <c r="A3448" i="1"/>
  <c r="B3448" i="1"/>
  <c r="A3449" i="1"/>
  <c r="B3449" i="1"/>
  <c r="A3450" i="1"/>
  <c r="B3450" i="1"/>
  <c r="A3451" i="1"/>
  <c r="B3451" i="1"/>
  <c r="A3452" i="1"/>
  <c r="B3452" i="1"/>
  <c r="A3453" i="1"/>
  <c r="B3453" i="1"/>
  <c r="A3454" i="1"/>
  <c r="B3454" i="1"/>
  <c r="A3455" i="1"/>
  <c r="B3455" i="1"/>
  <c r="A3456" i="1"/>
  <c r="A3457" i="1"/>
  <c r="B3457" i="1"/>
  <c r="A3458" i="1"/>
  <c r="B3458" i="1"/>
  <c r="A3459" i="1"/>
  <c r="A3460" i="1"/>
  <c r="A3461" i="1"/>
  <c r="A3462" i="1"/>
  <c r="A3463" i="1"/>
  <c r="A3464" i="1"/>
  <c r="A3465" i="1"/>
  <c r="A3466" i="1"/>
  <c r="A3467" i="1"/>
  <c r="B3467" i="1"/>
  <c r="A3468" i="1"/>
  <c r="B3468" i="1"/>
  <c r="A3469" i="1"/>
  <c r="B3469" i="1"/>
  <c r="A3470" i="1"/>
  <c r="B3470" i="1"/>
  <c r="A3471" i="1"/>
  <c r="A3472" i="1"/>
  <c r="B3472" i="1"/>
  <c r="A3473" i="1"/>
  <c r="B3473" i="1"/>
  <c r="A3474" i="1"/>
  <c r="B3474" i="1"/>
  <c r="A3475" i="1"/>
  <c r="B3475" i="1"/>
  <c r="A3476" i="1"/>
  <c r="B3476" i="1"/>
  <c r="A3477" i="1"/>
  <c r="B3477" i="1"/>
  <c r="A3478" i="1"/>
  <c r="B3478" i="1"/>
  <c r="A3479" i="1"/>
  <c r="B3479" i="1"/>
  <c r="A3480" i="1"/>
  <c r="B3480" i="1"/>
  <c r="A3481" i="1"/>
  <c r="B3481" i="1"/>
  <c r="A3482" i="1"/>
  <c r="B3482" i="1"/>
  <c r="A3483" i="1"/>
  <c r="B3483" i="1"/>
  <c r="A3484" i="1"/>
  <c r="B3484" i="1"/>
  <c r="A3485" i="1"/>
  <c r="B3485" i="1"/>
  <c r="A3486" i="1"/>
  <c r="B3486" i="1"/>
  <c r="A3487" i="1"/>
  <c r="B3487" i="1"/>
  <c r="A3488" i="1"/>
  <c r="B3488" i="1"/>
  <c r="A3489" i="1"/>
  <c r="A3490" i="1"/>
  <c r="B3490" i="1"/>
  <c r="A3491" i="1"/>
  <c r="B3491" i="1"/>
  <c r="A3492" i="1"/>
  <c r="A3493" i="1"/>
  <c r="B3493" i="1"/>
  <c r="A3494" i="1"/>
  <c r="B3494" i="1"/>
  <c r="A3495" i="1"/>
  <c r="B3495" i="1"/>
  <c r="A3496" i="1"/>
  <c r="B3496" i="1"/>
  <c r="A3497" i="1"/>
  <c r="B3497" i="1"/>
  <c r="A3498" i="1"/>
  <c r="B3498" i="1"/>
  <c r="A3499" i="1"/>
  <c r="B3499" i="1"/>
  <c r="A3500" i="1"/>
  <c r="B3500" i="1"/>
  <c r="A3501" i="1"/>
  <c r="B3501" i="1"/>
  <c r="A3502" i="1"/>
  <c r="B3502" i="1"/>
  <c r="A3503" i="1"/>
  <c r="B3503" i="1"/>
  <c r="A3504" i="1"/>
  <c r="B3504" i="1"/>
  <c r="A3505" i="1"/>
  <c r="B3505" i="1"/>
  <c r="A3506" i="1"/>
  <c r="B3506" i="1"/>
  <c r="A3507" i="1"/>
  <c r="A3508" i="1"/>
  <c r="B3508" i="1"/>
  <c r="A3509" i="1"/>
  <c r="B3509" i="1"/>
  <c r="A3510" i="1"/>
  <c r="B3510" i="1"/>
  <c r="A3511" i="1"/>
  <c r="B3511" i="1"/>
  <c r="A3512" i="1"/>
  <c r="A3513" i="1"/>
  <c r="A3514" i="1"/>
  <c r="B3514" i="1"/>
  <c r="A3515" i="1"/>
  <c r="B3515" i="1"/>
  <c r="A3516" i="1"/>
  <c r="B3516" i="1"/>
  <c r="A3517" i="1"/>
  <c r="B3517" i="1"/>
  <c r="A3518" i="1"/>
  <c r="A3519" i="1"/>
  <c r="B3519" i="1"/>
  <c r="A3520" i="1"/>
  <c r="A3521" i="1"/>
  <c r="B3521" i="1"/>
  <c r="A3522" i="1"/>
  <c r="A3523" i="1"/>
  <c r="B3523" i="1"/>
  <c r="A3524" i="1"/>
  <c r="A3525" i="1"/>
  <c r="B3525" i="1"/>
  <c r="A3526" i="1"/>
  <c r="A3527" i="1"/>
  <c r="B3527" i="1"/>
  <c r="A3528" i="1"/>
  <c r="B3528" i="1"/>
  <c r="A3529" i="1"/>
  <c r="B3529" i="1"/>
  <c r="A3530" i="1"/>
  <c r="B3530" i="1"/>
  <c r="A3531" i="1"/>
  <c r="B3531" i="1"/>
  <c r="A3532" i="1"/>
  <c r="B3532" i="1"/>
  <c r="A3533" i="1"/>
  <c r="A3534" i="1"/>
  <c r="B3534" i="1"/>
  <c r="A3535" i="1"/>
  <c r="B3535" i="1"/>
  <c r="A3536" i="1"/>
  <c r="A3537" i="1"/>
  <c r="B3537" i="1"/>
  <c r="A3538" i="1"/>
  <c r="B3538" i="1"/>
  <c r="A3539" i="1"/>
  <c r="B3539" i="1"/>
  <c r="A3540" i="1"/>
  <c r="B3540" i="1"/>
  <c r="A3541" i="1"/>
  <c r="B3541" i="1"/>
  <c r="A3542" i="1"/>
  <c r="B3542" i="1"/>
  <c r="A3543" i="1"/>
  <c r="B3543" i="1"/>
  <c r="A3544" i="1"/>
  <c r="B3544" i="1"/>
  <c r="A3545" i="1"/>
  <c r="B3545" i="1"/>
  <c r="A3546" i="1"/>
  <c r="B3546" i="1"/>
  <c r="A3547" i="1"/>
  <c r="B3547" i="1"/>
  <c r="A3548" i="1"/>
  <c r="A3549" i="1"/>
  <c r="B3549" i="1"/>
  <c r="A3550" i="1"/>
  <c r="B3550" i="1"/>
  <c r="A3551" i="1"/>
  <c r="A3552" i="1"/>
  <c r="B3552" i="1"/>
  <c r="A3553" i="1"/>
  <c r="B3553" i="1"/>
  <c r="A3554" i="1"/>
  <c r="B3554" i="1"/>
  <c r="A3555" i="1"/>
  <c r="B3555" i="1"/>
  <c r="A3556" i="1"/>
  <c r="B3556" i="1"/>
  <c r="A3557" i="1"/>
  <c r="B3557" i="1"/>
  <c r="A3558" i="1"/>
  <c r="B3558" i="1"/>
  <c r="A3559" i="1"/>
  <c r="B3559" i="1"/>
  <c r="A3560" i="1"/>
  <c r="B3560" i="1"/>
  <c r="A3561" i="1"/>
  <c r="A3562" i="1"/>
  <c r="B3562" i="1"/>
  <c r="A3563" i="1"/>
  <c r="B3563" i="1"/>
  <c r="A3564" i="1"/>
  <c r="A3565" i="1"/>
  <c r="A3566" i="1"/>
  <c r="B3566" i="1"/>
  <c r="A3567" i="1"/>
  <c r="B3567" i="1"/>
  <c r="A3568" i="1"/>
  <c r="B3568" i="1"/>
  <c r="A3569" i="1"/>
  <c r="B3569" i="1"/>
  <c r="A3570" i="1"/>
  <c r="A3571" i="1"/>
  <c r="B3571" i="1"/>
  <c r="A3572" i="1"/>
  <c r="B3572" i="1"/>
  <c r="A3573" i="1"/>
  <c r="A3574" i="1"/>
  <c r="B3574" i="1"/>
  <c r="A3575" i="1"/>
  <c r="B3575" i="1"/>
  <c r="A3576" i="1"/>
  <c r="B3576" i="1"/>
  <c r="A3577" i="1"/>
  <c r="B3577" i="1"/>
  <c r="A3578" i="1"/>
  <c r="B3578" i="1"/>
  <c r="A3579" i="1"/>
  <c r="B3579" i="1"/>
  <c r="A3580" i="1"/>
  <c r="B3580" i="1"/>
  <c r="A3581" i="1"/>
  <c r="B3581" i="1"/>
  <c r="A3582" i="1"/>
  <c r="B3582" i="1"/>
  <c r="A3583" i="1"/>
  <c r="B3583" i="1"/>
  <c r="A3584" i="1"/>
  <c r="B3584" i="1"/>
  <c r="A3585" i="1"/>
  <c r="B3585" i="1"/>
  <c r="A3586" i="1"/>
  <c r="B3586" i="1"/>
  <c r="A3587" i="1"/>
  <c r="B3587" i="1"/>
  <c r="A3588" i="1"/>
  <c r="B3588" i="1"/>
  <c r="A3589" i="1"/>
  <c r="B3589" i="1"/>
  <c r="A3590" i="1"/>
  <c r="A3591" i="1"/>
  <c r="B3591" i="1"/>
  <c r="A3592" i="1"/>
  <c r="B3592" i="1"/>
  <c r="A3593" i="1"/>
  <c r="B3593" i="1"/>
  <c r="A3594" i="1"/>
  <c r="A3595" i="1"/>
  <c r="B3595" i="1"/>
  <c r="A3596" i="1"/>
  <c r="B3596" i="1"/>
  <c r="A3597" i="1"/>
  <c r="A3598" i="1"/>
  <c r="B3598" i="1"/>
  <c r="A3599" i="1"/>
  <c r="B3599" i="1"/>
  <c r="A3600" i="1"/>
  <c r="B3600" i="1"/>
  <c r="A3601" i="1"/>
  <c r="B3601" i="1"/>
  <c r="A3602" i="1"/>
  <c r="B3602" i="1"/>
  <c r="A3603" i="1"/>
  <c r="B3603" i="1"/>
  <c r="A3604" i="1"/>
  <c r="B3604" i="1"/>
  <c r="A3605" i="1"/>
  <c r="B3605" i="1"/>
  <c r="A3606" i="1"/>
  <c r="B3606" i="1"/>
  <c r="A3607" i="1"/>
  <c r="B3607" i="1"/>
  <c r="A3608" i="1"/>
  <c r="B3608" i="1"/>
  <c r="A3609" i="1"/>
  <c r="B3609" i="1"/>
  <c r="A3610" i="1"/>
  <c r="B3610" i="1"/>
  <c r="A3611" i="1"/>
  <c r="B3611" i="1"/>
  <c r="A3612" i="1"/>
  <c r="B3612" i="1"/>
  <c r="A3613" i="1"/>
  <c r="B3613" i="1"/>
  <c r="A3614" i="1"/>
  <c r="B3614" i="1"/>
  <c r="A3615" i="1"/>
  <c r="B3615" i="1"/>
  <c r="A3616" i="1"/>
  <c r="B3616" i="1"/>
  <c r="A3617" i="1"/>
  <c r="A3618" i="1"/>
  <c r="A3619" i="1"/>
  <c r="A3620" i="1"/>
  <c r="A3621" i="1"/>
  <c r="A3622" i="1"/>
  <c r="A3623" i="1"/>
  <c r="B3623" i="1"/>
  <c r="A3624" i="1"/>
  <c r="B3624" i="1"/>
  <c r="A3625" i="1"/>
  <c r="B3625" i="1"/>
  <c r="A3626" i="1"/>
  <c r="B3626" i="1"/>
  <c r="A3627" i="1"/>
  <c r="A3628" i="1"/>
  <c r="B3628" i="1"/>
  <c r="A3629" i="1"/>
  <c r="B3629" i="1"/>
  <c r="A3630" i="1"/>
  <c r="B3630" i="1"/>
  <c r="A3631" i="1"/>
  <c r="B3631" i="1"/>
  <c r="A3632" i="1"/>
  <c r="B3632" i="1"/>
  <c r="A3633" i="1"/>
  <c r="A3634" i="1"/>
  <c r="A3635" i="1"/>
  <c r="B3635" i="1"/>
  <c r="A3636" i="1"/>
  <c r="B3636" i="1"/>
  <c r="A3637" i="1"/>
  <c r="A3638" i="1"/>
  <c r="A3639" i="1"/>
  <c r="A3640" i="1"/>
  <c r="A3641" i="1"/>
  <c r="B3641" i="1"/>
  <c r="A3642" i="1"/>
  <c r="B3642" i="1"/>
  <c r="A3643" i="1"/>
  <c r="B3643" i="1"/>
  <c r="A3644" i="1"/>
  <c r="A3645" i="1"/>
  <c r="B3645" i="1"/>
  <c r="A3646" i="1"/>
  <c r="B3646" i="1"/>
  <c r="A3647" i="1"/>
  <c r="B3647" i="1"/>
  <c r="A3648" i="1"/>
  <c r="A3649" i="1"/>
  <c r="B3649" i="1"/>
  <c r="A3650" i="1"/>
  <c r="B3650" i="1"/>
  <c r="A3651" i="1"/>
  <c r="B3651" i="1"/>
  <c r="A3652" i="1"/>
  <c r="B3652" i="1"/>
  <c r="A3653" i="1"/>
  <c r="B3653" i="1"/>
  <c r="A3654" i="1"/>
  <c r="B3654" i="1"/>
  <c r="A3655" i="1"/>
  <c r="B3655" i="1"/>
  <c r="A3656" i="1"/>
  <c r="A3657" i="1"/>
  <c r="A3658" i="1"/>
  <c r="A3659" i="1"/>
  <c r="B3659" i="1"/>
  <c r="A3660" i="1"/>
  <c r="B3660" i="1"/>
  <c r="A3661" i="1"/>
  <c r="B3661" i="1"/>
  <c r="A3662" i="1"/>
  <c r="B3662" i="1"/>
  <c r="A3663" i="1"/>
  <c r="B3663" i="1"/>
  <c r="A3664" i="1"/>
  <c r="B3664" i="1"/>
  <c r="A3665" i="1"/>
  <c r="B3665" i="1"/>
  <c r="A3666" i="1"/>
  <c r="A3667" i="1"/>
  <c r="B3667" i="1"/>
  <c r="A3668" i="1"/>
  <c r="A3669" i="1"/>
  <c r="B3669" i="1"/>
  <c r="A3670" i="1"/>
  <c r="B3670" i="1"/>
  <c r="A3671" i="1"/>
  <c r="B3671" i="1"/>
  <c r="A3672" i="1"/>
  <c r="B3672" i="1"/>
  <c r="A3673" i="1"/>
  <c r="B3673" i="1"/>
  <c r="A3674" i="1"/>
  <c r="B3674" i="1"/>
  <c r="A3675" i="1"/>
  <c r="B3675" i="1"/>
  <c r="A3676" i="1"/>
  <c r="A3677" i="1"/>
  <c r="A3678" i="1"/>
  <c r="B3678" i="1"/>
  <c r="A3679" i="1"/>
  <c r="A3680" i="1"/>
  <c r="A3681" i="1"/>
  <c r="B3681" i="1"/>
  <c r="A3682" i="1"/>
  <c r="B3682" i="1"/>
  <c r="A3683" i="1"/>
  <c r="B3683" i="1"/>
  <c r="A3684" i="1"/>
  <c r="B3684" i="1"/>
  <c r="A3685" i="1"/>
  <c r="B3685" i="1"/>
  <c r="A3686" i="1"/>
  <c r="B3686" i="1"/>
  <c r="A3687" i="1"/>
  <c r="B3687" i="1"/>
  <c r="A3688" i="1"/>
  <c r="A3689" i="1"/>
  <c r="B3689" i="1"/>
  <c r="A3690" i="1"/>
  <c r="B3690" i="1"/>
  <c r="A3691" i="1"/>
  <c r="B3691" i="1"/>
  <c r="A3692" i="1"/>
  <c r="B3692" i="1"/>
  <c r="A3693" i="1"/>
  <c r="B3693" i="1"/>
  <c r="A3694" i="1"/>
  <c r="B3694" i="1"/>
  <c r="A3695" i="1"/>
  <c r="B3695" i="1"/>
  <c r="A3696" i="1"/>
  <c r="B3696" i="1"/>
  <c r="A3697" i="1"/>
  <c r="B3697" i="1"/>
  <c r="A3698" i="1"/>
  <c r="B3698" i="1"/>
  <c r="A3699" i="1"/>
  <c r="B3699" i="1"/>
  <c r="A3700" i="1"/>
  <c r="B3700" i="1"/>
  <c r="A3701" i="1"/>
  <c r="B3701" i="1"/>
  <c r="A3702" i="1"/>
  <c r="B3702" i="1"/>
  <c r="A3703" i="1"/>
  <c r="B3703" i="1"/>
  <c r="A3704" i="1"/>
  <c r="A3705" i="1"/>
  <c r="B3705" i="1"/>
  <c r="A3706" i="1"/>
  <c r="B3706" i="1"/>
  <c r="A3707" i="1"/>
  <c r="B3707" i="1"/>
  <c r="A3708" i="1"/>
  <c r="B3708" i="1"/>
  <c r="A3709" i="1"/>
  <c r="A3710" i="1"/>
  <c r="B3710" i="1"/>
  <c r="A3711" i="1"/>
  <c r="A3712" i="1"/>
  <c r="A3713" i="1"/>
  <c r="B3713" i="1"/>
  <c r="A3714" i="1"/>
  <c r="B3714" i="1"/>
  <c r="A3715" i="1"/>
  <c r="A3716" i="1"/>
  <c r="A3717" i="1"/>
  <c r="A3718" i="1"/>
  <c r="B3718" i="1"/>
  <c r="A3719" i="1"/>
  <c r="A3720" i="1"/>
  <c r="B3720" i="1"/>
  <c r="A3721" i="1"/>
  <c r="A3722" i="1"/>
  <c r="A3723" i="1"/>
  <c r="B3723" i="1"/>
  <c r="A3724" i="1"/>
  <c r="A3725" i="1"/>
  <c r="B3725" i="1"/>
  <c r="A3726" i="1"/>
  <c r="A3727" i="1"/>
  <c r="A3728" i="1"/>
  <c r="A3729" i="1"/>
  <c r="A3730" i="1"/>
  <c r="A3731" i="1"/>
  <c r="A3732" i="1"/>
  <c r="B3732" i="1"/>
  <c r="A3733" i="1"/>
  <c r="B3733" i="1"/>
  <c r="A3734" i="1"/>
  <c r="B3734" i="1"/>
  <c r="A3735" i="1"/>
  <c r="A3736" i="1"/>
  <c r="A3737" i="1"/>
  <c r="B3737" i="1"/>
  <c r="A3738" i="1"/>
  <c r="A3739" i="1"/>
  <c r="A3740" i="1"/>
  <c r="B3740" i="1"/>
  <c r="A3741" i="1"/>
  <c r="B3741" i="1"/>
  <c r="A3742" i="1"/>
  <c r="A3743" i="1"/>
  <c r="B3743" i="1"/>
  <c r="A3744" i="1"/>
  <c r="B3744" i="1"/>
  <c r="A3745" i="1"/>
  <c r="B3745" i="1"/>
  <c r="A3746" i="1"/>
  <c r="B3746" i="1"/>
  <c r="A3747" i="1"/>
  <c r="B3747" i="1"/>
  <c r="A3748" i="1"/>
  <c r="B3748" i="1"/>
  <c r="A3749" i="1"/>
  <c r="B3749" i="1"/>
  <c r="A3750" i="1"/>
  <c r="B3750" i="1"/>
  <c r="A3751" i="1"/>
  <c r="B3751" i="1"/>
  <c r="A3752" i="1"/>
  <c r="B3752" i="1"/>
  <c r="A3753" i="1"/>
  <c r="B3753" i="1"/>
  <c r="A3754" i="1"/>
  <c r="B3754" i="1"/>
  <c r="A3755" i="1"/>
  <c r="B3755" i="1"/>
  <c r="A3756" i="1"/>
  <c r="B3756" i="1"/>
  <c r="A3757" i="1"/>
  <c r="B3757" i="1"/>
  <c r="A3758" i="1"/>
  <c r="B3758" i="1"/>
  <c r="A3759" i="1"/>
  <c r="A3760" i="1"/>
  <c r="A3761" i="1"/>
  <c r="B3761" i="1"/>
  <c r="A3762" i="1"/>
  <c r="A3763" i="1"/>
  <c r="B3763" i="1"/>
  <c r="A3764" i="1"/>
  <c r="B3764" i="1"/>
  <c r="A3765" i="1"/>
  <c r="B3765" i="1"/>
  <c r="A3766" i="1"/>
  <c r="B3766" i="1"/>
  <c r="A3767" i="1"/>
  <c r="B3767" i="1"/>
  <c r="A3768" i="1"/>
  <c r="B3768" i="1"/>
  <c r="A3769" i="1"/>
  <c r="A3770" i="1"/>
  <c r="B3770" i="1"/>
  <c r="A3771" i="1"/>
  <c r="B3771" i="1"/>
  <c r="A3772" i="1"/>
  <c r="A3773" i="1"/>
  <c r="B3773" i="1"/>
  <c r="A3774" i="1"/>
  <c r="B3774" i="1"/>
  <c r="A3775" i="1"/>
  <c r="B3775" i="1"/>
  <c r="A3776" i="1"/>
  <c r="B3776" i="1"/>
  <c r="A3777" i="1"/>
  <c r="B3777" i="1"/>
  <c r="A3778" i="1"/>
  <c r="B3778" i="1"/>
  <c r="A3779" i="1"/>
  <c r="B3779" i="1"/>
  <c r="A3780" i="1"/>
  <c r="B3780" i="1"/>
  <c r="A3781" i="1"/>
  <c r="B3781" i="1"/>
  <c r="A3782" i="1"/>
  <c r="B3782" i="1"/>
  <c r="A3783" i="1"/>
  <c r="B3783" i="1"/>
  <c r="A3784" i="1"/>
  <c r="B3784" i="1"/>
  <c r="A3785" i="1"/>
  <c r="B3785" i="1"/>
  <c r="A3786" i="1"/>
  <c r="A3787" i="1"/>
  <c r="B3787" i="1"/>
  <c r="A3788" i="1"/>
  <c r="B3788" i="1"/>
  <c r="A3789" i="1"/>
  <c r="B3789" i="1"/>
  <c r="A3790" i="1"/>
  <c r="A3791" i="1"/>
  <c r="B3791" i="1"/>
  <c r="A3792" i="1"/>
  <c r="A3793" i="1"/>
  <c r="B3793" i="1"/>
  <c r="A3794" i="1"/>
  <c r="B3794" i="1"/>
  <c r="A3795" i="1"/>
  <c r="B3795" i="1"/>
  <c r="A3796" i="1"/>
  <c r="B3796" i="1"/>
  <c r="A3797" i="1"/>
  <c r="B3797" i="1"/>
  <c r="A3798" i="1"/>
  <c r="B3798" i="1"/>
  <c r="A3799" i="1"/>
  <c r="B3799" i="1"/>
  <c r="A3800" i="1"/>
  <c r="B3800" i="1"/>
  <c r="A3801" i="1"/>
  <c r="B3801" i="1"/>
  <c r="A3802" i="1"/>
  <c r="A3803" i="1"/>
  <c r="A3804" i="1"/>
  <c r="A3805" i="1"/>
  <c r="A3806" i="1"/>
  <c r="A3807" i="1"/>
  <c r="A3808" i="1"/>
  <c r="A3809" i="1"/>
  <c r="A3810" i="1"/>
  <c r="A3811" i="1"/>
  <c r="B3811" i="1"/>
  <c r="A3812" i="1"/>
  <c r="B3812" i="1"/>
  <c r="A3813" i="1"/>
  <c r="B3813" i="1"/>
  <c r="A3814" i="1"/>
  <c r="B3814" i="1"/>
  <c r="A3815" i="1"/>
  <c r="B3815" i="1"/>
  <c r="A3816" i="1"/>
  <c r="B3816" i="1"/>
  <c r="A3817" i="1"/>
  <c r="B3817" i="1"/>
  <c r="A3818" i="1"/>
  <c r="B3818" i="1"/>
  <c r="A3819" i="1"/>
  <c r="B3819" i="1"/>
  <c r="A3820" i="1"/>
  <c r="B3820" i="1"/>
  <c r="A3821" i="1"/>
  <c r="B3821" i="1"/>
  <c r="A3822" i="1"/>
  <c r="B3822" i="1"/>
  <c r="A3823" i="1"/>
  <c r="B3823" i="1"/>
  <c r="A3824" i="1"/>
  <c r="B3824" i="1"/>
  <c r="A3825" i="1"/>
  <c r="B3825" i="1"/>
  <c r="A3826" i="1"/>
  <c r="B3826" i="1"/>
  <c r="A3827" i="1"/>
  <c r="B3827" i="1"/>
  <c r="A3828" i="1"/>
  <c r="B3828" i="1"/>
  <c r="A3829" i="1"/>
  <c r="B3829" i="1"/>
  <c r="A3830" i="1"/>
  <c r="B3830" i="1"/>
  <c r="A3831" i="1"/>
  <c r="B3831" i="1"/>
  <c r="A3832" i="1"/>
  <c r="B3832" i="1"/>
  <c r="A3833" i="1"/>
  <c r="B3833" i="1"/>
  <c r="A3834" i="1"/>
  <c r="B3834" i="1"/>
  <c r="A3835" i="1"/>
  <c r="A3836" i="1"/>
  <c r="B3836" i="1"/>
  <c r="A3837" i="1"/>
  <c r="B3837" i="1"/>
  <c r="A3838" i="1"/>
  <c r="A3839" i="1"/>
  <c r="B3839" i="1"/>
  <c r="A3840" i="1"/>
  <c r="B3840" i="1"/>
  <c r="A3841" i="1"/>
  <c r="B3841" i="1"/>
  <c r="A3842" i="1"/>
  <c r="B3842" i="1"/>
  <c r="A3843" i="1"/>
  <c r="B3843" i="1"/>
  <c r="A3844" i="1"/>
  <c r="B3844" i="1"/>
  <c r="A3845" i="1"/>
  <c r="B3845" i="1"/>
  <c r="A3846" i="1"/>
  <c r="B3846" i="1"/>
  <c r="A3847" i="1"/>
  <c r="B3847" i="1"/>
  <c r="A3848" i="1"/>
  <c r="A3849" i="1"/>
  <c r="B3849" i="1"/>
  <c r="A3850" i="1"/>
  <c r="B3850" i="1"/>
  <c r="A3851" i="1"/>
  <c r="B3851" i="1"/>
  <c r="A3852" i="1"/>
  <c r="B3852" i="1"/>
  <c r="A3853" i="1"/>
  <c r="B3853" i="1"/>
  <c r="A3854" i="1"/>
  <c r="B3854" i="1"/>
  <c r="A3855" i="1"/>
  <c r="B3855" i="1"/>
  <c r="A3856" i="1"/>
  <c r="B3856" i="1"/>
  <c r="A3857" i="1"/>
  <c r="B3857" i="1"/>
  <c r="A3858" i="1"/>
  <c r="A3859" i="1"/>
  <c r="A3860" i="1"/>
  <c r="A3861" i="1"/>
  <c r="A3862" i="1"/>
  <c r="B3862" i="1"/>
  <c r="A3863" i="1"/>
  <c r="B3863" i="1"/>
  <c r="A3864" i="1"/>
  <c r="B3864" i="1"/>
  <c r="A3865" i="1"/>
  <c r="B3865" i="1"/>
  <c r="A3866" i="1"/>
  <c r="A3867" i="1"/>
  <c r="B3867" i="1"/>
  <c r="A3868" i="1"/>
  <c r="B3868" i="1"/>
  <c r="A3869" i="1"/>
  <c r="B3869" i="1"/>
  <c r="A3870" i="1"/>
  <c r="B3870" i="1"/>
  <c r="A3871" i="1"/>
  <c r="B3871" i="1"/>
  <c r="A3872" i="1"/>
  <c r="B3872" i="1"/>
  <c r="A3873" i="1"/>
  <c r="B3873" i="1"/>
  <c r="A3874" i="1"/>
  <c r="B3874" i="1"/>
  <c r="A3875" i="1"/>
  <c r="B3875" i="1"/>
  <c r="A3876" i="1"/>
  <c r="B3876" i="1"/>
  <c r="A3877" i="1"/>
  <c r="B3877" i="1"/>
  <c r="A3878" i="1"/>
  <c r="B3878" i="1"/>
  <c r="A3879" i="1"/>
  <c r="B3879" i="1"/>
  <c r="A3880" i="1"/>
  <c r="B3880" i="1"/>
  <c r="A3881" i="1"/>
  <c r="B3881" i="1"/>
  <c r="A3882" i="1"/>
  <c r="B3882" i="1"/>
  <c r="A3883" i="1"/>
  <c r="B3883" i="1"/>
  <c r="A3884" i="1"/>
  <c r="B3884" i="1"/>
  <c r="A3885" i="1"/>
  <c r="B3885" i="1"/>
  <c r="A3886" i="1"/>
  <c r="B3886" i="1"/>
  <c r="A3887" i="1"/>
  <c r="B3887" i="1"/>
  <c r="A3888" i="1"/>
  <c r="B3888" i="1"/>
  <c r="A3889" i="1"/>
  <c r="B3889" i="1"/>
  <c r="A3890" i="1"/>
  <c r="B3890" i="1"/>
  <c r="A3891" i="1"/>
  <c r="B3891" i="1"/>
  <c r="A3892" i="1"/>
  <c r="B3892" i="1"/>
  <c r="A3893" i="1"/>
  <c r="B3893" i="1"/>
  <c r="A3894" i="1"/>
  <c r="B3894" i="1"/>
  <c r="A3895" i="1"/>
  <c r="B3895" i="1"/>
  <c r="A3896" i="1"/>
  <c r="B3896" i="1"/>
  <c r="A3897" i="1"/>
  <c r="B3897" i="1"/>
  <c r="A3898" i="1"/>
  <c r="B3898" i="1"/>
  <c r="A3899" i="1"/>
  <c r="B3899" i="1"/>
  <c r="A3900" i="1"/>
  <c r="B3900" i="1"/>
  <c r="A3901" i="1"/>
  <c r="B3901" i="1"/>
  <c r="A3902" i="1"/>
  <c r="B3902" i="1"/>
  <c r="A3903" i="1"/>
  <c r="B3903" i="1"/>
  <c r="A3904" i="1"/>
  <c r="B3904" i="1"/>
  <c r="A3905" i="1"/>
  <c r="B3905" i="1"/>
  <c r="A3906" i="1"/>
  <c r="B3906" i="1"/>
  <c r="A3907" i="1"/>
  <c r="B3907" i="1"/>
  <c r="A3908" i="1"/>
  <c r="B3908" i="1"/>
  <c r="A3909" i="1"/>
  <c r="B3909" i="1"/>
  <c r="A3910" i="1"/>
  <c r="B3910" i="1"/>
  <c r="A3911" i="1"/>
  <c r="B3911" i="1"/>
  <c r="A3912" i="1"/>
  <c r="B3912" i="1"/>
  <c r="A3913" i="1"/>
  <c r="B3913" i="1"/>
  <c r="A3914" i="1"/>
  <c r="B3914" i="1"/>
  <c r="A3915" i="1"/>
  <c r="A3916" i="1"/>
  <c r="B3916" i="1"/>
  <c r="A3917" i="1"/>
  <c r="B3917" i="1"/>
  <c r="A3918" i="1"/>
  <c r="B3918" i="1"/>
  <c r="A3919" i="1"/>
  <c r="B3919" i="1"/>
  <c r="A3920" i="1"/>
  <c r="B3920" i="1"/>
  <c r="A3921" i="1"/>
  <c r="B3921" i="1"/>
  <c r="A3922" i="1"/>
  <c r="A3923" i="1"/>
  <c r="B3923" i="1"/>
  <c r="A3924" i="1"/>
  <c r="B3924" i="1"/>
  <c r="A3925" i="1"/>
  <c r="B3925" i="1"/>
  <c r="A3926" i="1"/>
  <c r="B3926" i="1"/>
  <c r="A3927" i="1"/>
  <c r="B3927" i="1"/>
  <c r="A3928" i="1"/>
  <c r="B3928" i="1"/>
  <c r="A3929" i="1"/>
  <c r="B3929" i="1"/>
  <c r="A3930" i="1"/>
  <c r="A3931" i="1"/>
  <c r="B3931" i="1"/>
  <c r="A3932" i="1"/>
  <c r="B3932" i="1"/>
  <c r="A3933" i="1"/>
  <c r="B3933" i="1"/>
  <c r="A3934" i="1"/>
  <c r="B3934" i="1"/>
  <c r="A3935" i="1"/>
  <c r="B3935" i="1"/>
  <c r="A3936" i="1"/>
  <c r="B3936" i="1"/>
  <c r="A3937" i="1"/>
  <c r="B3937" i="1"/>
  <c r="A3938" i="1"/>
  <c r="B3938" i="1"/>
  <c r="A3939" i="1"/>
  <c r="B3939" i="1"/>
  <c r="A3940" i="1"/>
  <c r="B3940" i="1"/>
  <c r="A3941" i="1"/>
  <c r="B3941" i="1"/>
  <c r="A3942" i="1"/>
  <c r="B3942" i="1"/>
  <c r="A3943" i="1"/>
  <c r="B3943" i="1"/>
  <c r="A3944" i="1"/>
  <c r="B3944" i="1"/>
  <c r="A3945" i="1"/>
  <c r="B3945" i="1"/>
  <c r="A3946" i="1"/>
  <c r="B3946" i="1"/>
  <c r="A3947" i="1"/>
  <c r="B3947" i="1"/>
  <c r="A3948" i="1"/>
  <c r="B3948" i="1"/>
  <c r="A3949" i="1"/>
  <c r="B3949" i="1"/>
  <c r="A3950" i="1"/>
  <c r="A3951" i="1"/>
  <c r="B3951" i="1"/>
  <c r="A3952" i="1"/>
  <c r="B3952" i="1"/>
  <c r="A3953" i="1"/>
  <c r="B3953" i="1"/>
  <c r="A3954" i="1"/>
  <c r="B3954" i="1"/>
  <c r="A3955" i="1"/>
  <c r="B3955" i="1"/>
  <c r="A3956" i="1"/>
  <c r="B3956" i="1"/>
  <c r="A3957" i="1"/>
  <c r="B3957" i="1"/>
  <c r="A3958" i="1"/>
  <c r="B3958" i="1"/>
  <c r="A3959" i="1"/>
  <c r="B3959" i="1"/>
  <c r="A3960" i="1"/>
  <c r="B3960" i="1"/>
  <c r="A3961" i="1"/>
  <c r="B3961" i="1"/>
  <c r="A3962" i="1"/>
  <c r="B3962" i="1"/>
  <c r="A3963" i="1"/>
  <c r="B3963" i="1"/>
  <c r="A3964" i="1"/>
  <c r="A3965" i="1"/>
  <c r="B3965" i="1"/>
  <c r="A3966" i="1"/>
  <c r="B3966" i="1"/>
  <c r="A3967" i="1"/>
  <c r="B3967" i="1"/>
  <c r="A3968" i="1"/>
  <c r="B3968" i="1"/>
  <c r="A3969" i="1"/>
  <c r="A3970" i="1"/>
  <c r="B3970" i="1"/>
  <c r="A3971" i="1"/>
  <c r="B3971" i="1"/>
  <c r="A3972" i="1"/>
  <c r="B3972" i="1"/>
  <c r="A3973" i="1"/>
  <c r="B3973" i="1"/>
  <c r="A3974" i="1"/>
  <c r="A3975" i="1"/>
  <c r="B3975" i="1"/>
  <c r="A3976" i="1"/>
  <c r="B3976" i="1"/>
  <c r="A3977" i="1"/>
  <c r="B3977" i="1"/>
  <c r="A3978" i="1"/>
  <c r="B3978" i="1"/>
  <c r="A3979" i="1"/>
  <c r="B3979" i="1"/>
  <c r="A3980" i="1"/>
  <c r="B3980" i="1"/>
  <c r="A3981" i="1"/>
  <c r="A3982" i="1"/>
  <c r="A3983" i="1"/>
  <c r="B3983" i="1"/>
  <c r="A3984" i="1"/>
  <c r="B3984" i="1"/>
  <c r="A3985" i="1"/>
  <c r="B3985" i="1"/>
  <c r="A3986" i="1"/>
  <c r="B3986" i="1"/>
  <c r="A3987" i="1"/>
  <c r="B3987" i="1"/>
  <c r="A3988" i="1"/>
  <c r="B3988" i="1"/>
  <c r="A3989" i="1"/>
  <c r="B3989" i="1"/>
  <c r="A3990" i="1"/>
  <c r="A3991" i="1"/>
  <c r="B3991" i="1"/>
  <c r="A3992" i="1"/>
  <c r="B3992" i="1"/>
  <c r="A3993" i="1"/>
  <c r="B3993" i="1"/>
  <c r="A3994" i="1"/>
  <c r="B3994" i="1"/>
  <c r="A3995" i="1"/>
  <c r="B3995" i="1"/>
  <c r="A3996" i="1"/>
  <c r="B3996" i="1"/>
  <c r="A3997" i="1"/>
  <c r="B3997" i="1"/>
  <c r="A3998" i="1"/>
  <c r="B3998" i="1"/>
  <c r="A3999" i="1"/>
  <c r="B3999" i="1"/>
  <c r="A4000" i="1"/>
  <c r="B4000" i="1"/>
  <c r="A4001" i="1"/>
  <c r="B4001" i="1"/>
  <c r="A4002" i="1"/>
  <c r="B4002" i="1"/>
  <c r="A4003" i="1"/>
  <c r="B4003" i="1"/>
  <c r="A4004" i="1"/>
  <c r="B4004" i="1"/>
  <c r="A4005" i="1"/>
  <c r="B4005" i="1"/>
  <c r="A4006" i="1"/>
  <c r="B4006" i="1"/>
  <c r="A4007" i="1"/>
  <c r="B4007" i="1"/>
  <c r="A4008" i="1"/>
  <c r="B4008" i="1"/>
  <c r="A4009" i="1"/>
  <c r="B4009" i="1"/>
  <c r="A4010" i="1"/>
  <c r="B4010" i="1"/>
  <c r="A4011" i="1"/>
  <c r="B4011" i="1"/>
  <c r="A4012" i="1"/>
  <c r="B4012" i="1"/>
  <c r="A4013" i="1"/>
  <c r="B4013" i="1"/>
  <c r="A4014" i="1"/>
  <c r="B4014" i="1"/>
  <c r="A4015" i="1"/>
  <c r="B4015" i="1"/>
  <c r="A4016" i="1"/>
  <c r="A4017" i="1"/>
  <c r="B4017" i="1"/>
  <c r="A4018" i="1"/>
  <c r="B4018" i="1"/>
  <c r="A4019" i="1"/>
  <c r="A4020" i="1"/>
  <c r="B4020" i="1"/>
  <c r="A4021" i="1"/>
  <c r="B4021" i="1"/>
  <c r="A4022" i="1"/>
  <c r="A4023" i="1"/>
  <c r="B4023" i="1"/>
  <c r="A4024" i="1"/>
  <c r="B4024" i="1"/>
  <c r="A4025" i="1"/>
  <c r="B4025" i="1"/>
  <c r="A4026" i="1"/>
  <c r="B4026" i="1"/>
  <c r="A4027" i="1"/>
  <c r="B4027" i="1"/>
  <c r="A4028" i="1"/>
  <c r="B4028" i="1"/>
  <c r="A4029" i="1"/>
  <c r="B4029" i="1"/>
  <c r="A4030" i="1"/>
  <c r="B4030" i="1"/>
  <c r="A4031" i="1"/>
  <c r="B4031" i="1"/>
  <c r="A4032" i="1"/>
  <c r="A4033" i="1"/>
  <c r="B4033" i="1"/>
  <c r="A4034" i="1"/>
  <c r="B4034" i="1"/>
  <c r="A4035" i="1"/>
  <c r="B4035" i="1"/>
  <c r="A4036" i="1"/>
  <c r="A4037" i="1"/>
  <c r="B4037" i="1"/>
  <c r="A4038" i="1"/>
  <c r="B4038" i="1"/>
  <c r="A4039" i="1"/>
  <c r="A4040" i="1"/>
  <c r="B4040" i="1"/>
  <c r="A4041" i="1"/>
  <c r="A4042" i="1"/>
  <c r="A4043" i="1"/>
  <c r="A4044" i="1"/>
  <c r="A4045" i="1"/>
  <c r="B4045" i="1"/>
  <c r="A4046" i="1"/>
  <c r="B4046" i="1"/>
  <c r="A4047" i="1"/>
  <c r="A4048" i="1"/>
  <c r="A4049" i="1"/>
  <c r="B4049" i="1"/>
  <c r="A4050" i="1"/>
  <c r="B4050" i="1"/>
  <c r="A4051" i="1"/>
  <c r="B4051" i="1"/>
  <c r="A4052" i="1"/>
  <c r="A4053" i="1"/>
  <c r="B4053" i="1"/>
  <c r="A4054" i="1"/>
  <c r="B4054" i="1"/>
  <c r="A4055" i="1"/>
  <c r="B4055" i="1"/>
  <c r="A4056" i="1"/>
  <c r="B4056" i="1"/>
  <c r="A4057" i="1"/>
  <c r="B4057" i="1"/>
  <c r="A4058" i="1"/>
  <c r="B4058" i="1"/>
  <c r="A4059" i="1"/>
  <c r="B4059" i="1"/>
  <c r="A4060" i="1"/>
  <c r="B4060" i="1"/>
  <c r="A4061" i="1"/>
  <c r="B4061" i="1"/>
  <c r="A4062" i="1"/>
  <c r="A4063" i="1"/>
  <c r="B4063" i="1"/>
  <c r="A4064" i="1"/>
  <c r="B4064" i="1"/>
  <c r="A4065" i="1"/>
  <c r="B4065" i="1"/>
  <c r="A4066" i="1"/>
  <c r="B4066" i="1"/>
  <c r="A4067" i="1"/>
  <c r="B4067" i="1"/>
  <c r="A4068" i="1"/>
  <c r="A4069" i="1"/>
  <c r="B4069" i="1"/>
  <c r="A4070" i="1"/>
  <c r="B4070" i="1"/>
  <c r="A4071" i="1"/>
  <c r="B4071" i="1"/>
  <c r="A4072" i="1"/>
  <c r="A4073" i="1"/>
  <c r="A4074" i="1"/>
  <c r="A4075" i="1"/>
  <c r="B4075" i="1"/>
  <c r="A4076" i="1"/>
  <c r="B4076" i="1"/>
  <c r="A4077" i="1"/>
  <c r="B4077" i="1"/>
  <c r="A4078" i="1"/>
  <c r="B4078" i="1"/>
  <c r="A4079" i="1"/>
  <c r="B4079" i="1"/>
  <c r="A4080" i="1"/>
  <c r="A4081" i="1"/>
  <c r="B4081" i="1"/>
  <c r="A4082" i="1"/>
  <c r="B4082" i="1"/>
  <c r="A4083" i="1"/>
  <c r="B4083" i="1"/>
  <c r="A4084" i="1"/>
  <c r="A4085" i="1"/>
  <c r="B4085" i="1"/>
  <c r="A4086" i="1"/>
  <c r="B4086" i="1"/>
  <c r="A4087" i="1"/>
  <c r="B4087" i="1"/>
  <c r="A4088" i="1"/>
  <c r="B4088" i="1"/>
  <c r="A4089" i="1"/>
  <c r="B4089" i="1"/>
  <c r="A4090" i="1"/>
  <c r="B4090" i="1"/>
  <c r="A4091" i="1"/>
  <c r="B4091" i="1"/>
  <c r="A4092" i="1"/>
  <c r="B4092" i="1"/>
  <c r="A4093" i="1"/>
  <c r="B4093" i="1"/>
  <c r="A4094" i="1"/>
  <c r="B4094" i="1"/>
  <c r="A4095" i="1"/>
  <c r="B4095" i="1"/>
  <c r="A4096" i="1"/>
  <c r="B4096" i="1"/>
  <c r="A4097" i="1"/>
  <c r="B4097" i="1"/>
  <c r="A4098" i="1"/>
  <c r="B4098" i="1"/>
  <c r="A4099" i="1"/>
  <c r="A4100" i="1"/>
  <c r="A4101" i="1"/>
  <c r="A4102" i="1"/>
  <c r="A4103" i="1"/>
  <c r="B4103" i="1"/>
  <c r="A4104" i="1"/>
  <c r="A4105" i="1"/>
  <c r="B4105" i="1"/>
  <c r="A4106" i="1"/>
  <c r="B4106" i="1"/>
  <c r="A4107" i="1"/>
  <c r="B4107" i="1"/>
  <c r="A4108" i="1"/>
  <c r="B4108" i="1"/>
  <c r="A4109" i="1"/>
  <c r="B4109" i="1"/>
  <c r="A4110" i="1"/>
  <c r="B4110" i="1"/>
  <c r="A4111" i="1"/>
  <c r="B4111" i="1"/>
  <c r="A4112" i="1"/>
  <c r="B4112" i="1"/>
  <c r="A4113" i="1"/>
  <c r="B4113" i="1"/>
  <c r="A4114" i="1"/>
  <c r="B4114" i="1"/>
  <c r="A4115" i="1"/>
  <c r="B4115" i="1"/>
  <c r="A4116" i="1"/>
  <c r="B4116" i="1"/>
  <c r="A4117" i="1"/>
  <c r="B4117" i="1"/>
  <c r="A4118" i="1"/>
  <c r="B4118" i="1"/>
  <c r="A4119" i="1"/>
  <c r="B4119" i="1"/>
  <c r="A4120" i="1"/>
  <c r="B4120" i="1"/>
  <c r="A4121" i="1"/>
  <c r="B4121" i="1"/>
  <c r="A4122" i="1"/>
  <c r="B4122" i="1"/>
  <c r="A4123" i="1"/>
  <c r="A4124" i="1"/>
  <c r="B4124" i="1"/>
  <c r="A4125" i="1"/>
  <c r="B4125" i="1"/>
  <c r="A4126" i="1"/>
  <c r="B4126" i="1"/>
  <c r="A4127" i="1"/>
  <c r="B4127" i="1"/>
  <c r="A4128" i="1"/>
  <c r="B4128" i="1"/>
  <c r="A4129" i="1"/>
  <c r="B4129" i="1"/>
  <c r="A4130" i="1"/>
  <c r="B4130" i="1"/>
  <c r="A4131" i="1"/>
  <c r="B4131" i="1"/>
  <c r="A4132" i="1"/>
  <c r="B4132" i="1"/>
  <c r="A4133" i="1"/>
  <c r="B4133" i="1"/>
  <c r="A4134" i="1"/>
  <c r="B4134" i="1"/>
  <c r="A4135" i="1"/>
  <c r="B4135" i="1"/>
  <c r="A4136" i="1"/>
  <c r="A4137" i="1"/>
  <c r="B4137" i="1"/>
  <c r="A4138" i="1"/>
  <c r="B4138" i="1"/>
  <c r="A4139" i="1"/>
  <c r="B4139" i="1"/>
  <c r="A4140" i="1"/>
  <c r="B4140" i="1"/>
  <c r="A4141" i="1"/>
  <c r="B4141" i="1"/>
  <c r="A4142" i="1"/>
  <c r="B4142" i="1"/>
  <c r="A4143" i="1"/>
  <c r="B4143" i="1"/>
  <c r="A4144" i="1"/>
  <c r="A4145" i="1"/>
  <c r="B4145" i="1"/>
  <c r="A4146" i="1"/>
  <c r="B4146" i="1"/>
  <c r="A4147" i="1"/>
  <c r="A4148" i="1"/>
  <c r="B4148" i="1"/>
  <c r="A4149" i="1"/>
  <c r="B4149" i="1"/>
  <c r="A4150" i="1"/>
  <c r="B4150" i="1"/>
  <c r="A4151" i="1"/>
  <c r="A4152" i="1"/>
  <c r="B4152" i="1"/>
  <c r="A4153" i="1"/>
  <c r="B4153" i="1"/>
  <c r="A4154" i="1"/>
  <c r="B4154" i="1"/>
  <c r="A4155" i="1"/>
  <c r="B4155" i="1"/>
  <c r="A4156" i="1"/>
  <c r="B4156" i="1"/>
  <c r="A4157" i="1"/>
  <c r="B4157" i="1"/>
  <c r="A4158" i="1"/>
  <c r="B4158" i="1"/>
  <c r="A4159" i="1"/>
  <c r="A4160" i="1"/>
  <c r="B4160" i="1"/>
  <c r="A4161" i="1"/>
  <c r="B4161" i="1"/>
  <c r="A4162" i="1"/>
  <c r="B4162" i="1"/>
  <c r="A4163" i="1"/>
  <c r="B4163" i="1"/>
  <c r="A4164" i="1"/>
  <c r="B4164" i="1"/>
  <c r="A4165" i="1"/>
  <c r="B4165" i="1"/>
  <c r="A4166" i="1"/>
  <c r="B4166" i="1"/>
  <c r="A4167" i="1"/>
  <c r="B4167" i="1"/>
  <c r="A4168" i="1"/>
  <c r="B4168" i="1"/>
  <c r="A4169" i="1"/>
  <c r="B4169" i="1"/>
  <c r="A4170" i="1"/>
  <c r="B4170" i="1"/>
  <c r="A4171" i="1"/>
  <c r="B4171" i="1"/>
  <c r="A4172" i="1"/>
  <c r="B4172" i="1"/>
  <c r="A4173" i="1"/>
  <c r="B4173" i="1"/>
  <c r="A4174" i="1"/>
  <c r="B4174" i="1"/>
  <c r="A4175" i="1"/>
  <c r="B4175" i="1"/>
  <c r="A4176" i="1"/>
  <c r="B4176" i="1"/>
  <c r="A4177" i="1"/>
  <c r="B4177" i="1"/>
  <c r="A4178" i="1"/>
  <c r="B4178" i="1"/>
  <c r="A4179" i="1"/>
  <c r="B4179" i="1"/>
  <c r="A4180" i="1"/>
  <c r="B4180" i="1"/>
  <c r="A4181" i="1"/>
  <c r="B4181" i="1"/>
  <c r="A4182" i="1"/>
  <c r="B4182" i="1"/>
  <c r="A4183" i="1"/>
  <c r="B4183" i="1"/>
  <c r="A4184" i="1"/>
  <c r="B4184" i="1"/>
  <c r="A4185" i="1"/>
  <c r="A4186" i="1"/>
  <c r="B4186" i="1"/>
  <c r="A4187" i="1"/>
  <c r="B4187" i="1"/>
  <c r="A4188" i="1"/>
  <c r="B4188" i="1"/>
  <c r="A4189" i="1"/>
  <c r="B4189" i="1"/>
  <c r="A4190" i="1"/>
  <c r="B4190" i="1"/>
  <c r="A4191" i="1"/>
  <c r="B4191" i="1"/>
  <c r="A4192" i="1"/>
  <c r="B4192" i="1"/>
  <c r="A4193" i="1"/>
  <c r="B4193" i="1"/>
  <c r="A4194" i="1"/>
  <c r="B4194" i="1"/>
  <c r="A4195" i="1"/>
  <c r="B4195" i="1"/>
  <c r="A4196" i="1"/>
  <c r="B4196" i="1"/>
  <c r="A4197" i="1"/>
  <c r="B4197" i="1"/>
  <c r="A4198" i="1"/>
  <c r="B4198" i="1"/>
  <c r="A4199" i="1"/>
  <c r="B4199" i="1"/>
  <c r="A4200" i="1"/>
  <c r="B4200" i="1"/>
  <c r="A4201" i="1"/>
  <c r="B4201" i="1"/>
  <c r="A4202" i="1"/>
  <c r="B4202" i="1"/>
  <c r="A4203" i="1"/>
  <c r="B4203" i="1"/>
  <c r="A4204" i="1"/>
  <c r="B4204" i="1"/>
  <c r="A4205" i="1"/>
  <c r="B4205" i="1"/>
  <c r="A4206" i="1"/>
  <c r="B4206" i="1"/>
  <c r="A4207" i="1"/>
  <c r="A4208" i="1"/>
  <c r="B4208" i="1"/>
  <c r="A4209" i="1"/>
  <c r="B4209" i="1"/>
  <c r="A4210" i="1"/>
  <c r="B4210" i="1"/>
  <c r="A4211" i="1"/>
  <c r="B4211" i="1"/>
  <c r="A4212" i="1"/>
  <c r="B4212" i="1"/>
  <c r="A4213" i="1"/>
  <c r="B4213" i="1"/>
  <c r="A4214" i="1"/>
  <c r="B4214" i="1"/>
  <c r="A4215" i="1"/>
  <c r="B4215" i="1"/>
  <c r="A4216" i="1"/>
  <c r="B4216" i="1"/>
  <c r="A4217" i="1"/>
  <c r="B4217" i="1"/>
  <c r="A4218" i="1"/>
  <c r="A4219" i="1"/>
  <c r="B4219" i="1"/>
  <c r="A4220" i="1"/>
  <c r="B4220" i="1"/>
  <c r="A4221" i="1"/>
  <c r="B4221" i="1"/>
  <c r="A4222" i="1"/>
  <c r="B4222" i="1"/>
  <c r="A4223" i="1"/>
  <c r="B4223" i="1"/>
  <c r="A4224" i="1"/>
  <c r="B4224" i="1"/>
  <c r="A4225" i="1"/>
  <c r="B4225" i="1"/>
  <c r="A4226" i="1"/>
  <c r="B4226" i="1"/>
  <c r="A4227" i="1"/>
  <c r="B4227" i="1"/>
  <c r="A4228" i="1"/>
  <c r="B4228" i="1"/>
  <c r="A4229" i="1"/>
  <c r="B4229" i="1"/>
  <c r="A4230" i="1"/>
  <c r="B4230" i="1"/>
  <c r="A4231" i="1"/>
  <c r="B4231" i="1"/>
  <c r="A4232" i="1"/>
  <c r="B4232" i="1"/>
  <c r="A4233" i="1"/>
  <c r="B4233" i="1"/>
  <c r="A4234" i="1"/>
  <c r="A4235" i="1"/>
  <c r="B4235" i="1"/>
  <c r="A4236" i="1"/>
  <c r="A4237" i="1"/>
  <c r="B4237" i="1"/>
  <c r="A4238" i="1"/>
  <c r="B4238" i="1"/>
  <c r="A4239" i="1"/>
  <c r="A4240" i="1"/>
  <c r="B4240" i="1"/>
  <c r="A4241" i="1"/>
  <c r="B4241" i="1"/>
  <c r="A4242" i="1"/>
  <c r="B4242" i="1"/>
  <c r="A4243" i="1"/>
  <c r="B4243" i="1"/>
  <c r="A4244" i="1"/>
  <c r="B4244" i="1"/>
  <c r="A4245" i="1"/>
  <c r="B4245" i="1"/>
  <c r="A4246" i="1"/>
  <c r="B4246" i="1"/>
  <c r="A4247" i="1"/>
  <c r="B4247" i="1"/>
  <c r="A4248" i="1"/>
  <c r="B4248" i="1"/>
  <c r="A4249" i="1"/>
  <c r="B4249" i="1"/>
  <c r="A4250" i="1"/>
  <c r="B4250" i="1"/>
  <c r="A4251" i="1"/>
  <c r="A4252" i="1"/>
  <c r="A4253" i="1"/>
  <c r="A4254" i="1"/>
  <c r="B4254" i="1"/>
  <c r="A4255" i="1"/>
  <c r="A4256" i="1"/>
  <c r="A4257" i="1"/>
  <c r="A4258" i="1"/>
  <c r="B4258" i="1"/>
  <c r="A4259" i="1"/>
  <c r="A4260" i="1"/>
  <c r="A4261" i="1"/>
  <c r="B4261" i="1"/>
  <c r="A4262" i="1"/>
  <c r="B4262" i="1"/>
  <c r="A4263" i="1"/>
  <c r="A4264" i="1"/>
  <c r="B4264" i="1"/>
  <c r="A4265" i="1"/>
  <c r="A4266" i="1"/>
  <c r="A4267" i="1"/>
  <c r="A4268" i="1"/>
  <c r="A4269" i="1"/>
  <c r="A4270" i="1"/>
  <c r="A4271" i="1"/>
  <c r="B4271" i="1"/>
  <c r="A4272" i="1"/>
  <c r="B4272" i="1"/>
  <c r="A4273" i="1"/>
  <c r="A4274" i="1"/>
  <c r="B4274" i="1"/>
  <c r="A4275" i="1"/>
  <c r="B4275" i="1"/>
  <c r="A4276" i="1"/>
  <c r="A4277" i="1"/>
  <c r="A4278" i="1"/>
  <c r="B4278" i="1"/>
  <c r="A4279" i="1"/>
  <c r="B4279" i="1"/>
  <c r="A4280" i="1"/>
  <c r="B4280" i="1"/>
  <c r="A4281" i="1"/>
  <c r="B4281" i="1"/>
  <c r="A4282" i="1"/>
  <c r="A4283" i="1"/>
  <c r="B4283" i="1"/>
  <c r="A4284" i="1"/>
  <c r="B4284" i="1"/>
  <c r="A4285" i="1"/>
  <c r="B4285" i="1"/>
  <c r="A4286" i="1"/>
  <c r="B4286" i="1"/>
  <c r="A4287" i="1"/>
  <c r="B4287" i="1"/>
  <c r="A4288" i="1"/>
  <c r="B4288" i="1"/>
  <c r="A4289" i="1"/>
  <c r="B4289" i="1"/>
  <c r="A4290" i="1"/>
  <c r="B4290" i="1"/>
  <c r="A4291" i="1"/>
  <c r="B4291" i="1"/>
  <c r="A4292" i="1"/>
  <c r="B4292" i="1"/>
  <c r="A4293" i="1"/>
  <c r="B4293" i="1"/>
  <c r="A4294" i="1"/>
  <c r="B4294" i="1"/>
  <c r="A4295" i="1"/>
  <c r="A4296" i="1"/>
  <c r="B4296" i="1"/>
  <c r="A4297" i="1"/>
  <c r="A4298" i="1"/>
  <c r="B4298" i="1"/>
  <c r="A4299" i="1"/>
  <c r="B4299" i="1"/>
  <c r="A4300" i="1"/>
  <c r="B4300" i="1"/>
  <c r="A4301" i="1"/>
  <c r="B4301" i="1"/>
  <c r="A4302" i="1"/>
  <c r="A4303" i="1"/>
  <c r="B4303" i="1"/>
  <c r="A4304" i="1"/>
  <c r="B4304" i="1"/>
  <c r="A4305" i="1"/>
  <c r="B4305" i="1"/>
  <c r="A4306" i="1"/>
  <c r="B4306" i="1"/>
  <c r="A4307" i="1"/>
  <c r="B4307" i="1"/>
  <c r="A4308" i="1"/>
  <c r="B4308" i="1"/>
  <c r="A4309" i="1"/>
  <c r="B4309" i="1"/>
  <c r="A4310" i="1"/>
  <c r="B4310" i="1"/>
  <c r="A4311" i="1"/>
  <c r="B4311" i="1"/>
  <c r="A4312" i="1"/>
  <c r="B4312" i="1"/>
  <c r="A4313" i="1"/>
  <c r="B4313" i="1"/>
  <c r="A4314" i="1"/>
  <c r="A4315" i="1"/>
  <c r="A4316" i="1"/>
  <c r="B4316" i="1"/>
  <c r="A4317" i="1"/>
  <c r="B4317" i="1"/>
  <c r="A4318" i="1"/>
  <c r="B4318" i="1"/>
  <c r="A4319" i="1"/>
  <c r="B4319" i="1"/>
  <c r="A4320" i="1"/>
  <c r="A4321" i="1"/>
  <c r="A4322" i="1"/>
  <c r="A4323" i="1"/>
  <c r="A4324" i="1"/>
  <c r="B4324" i="1"/>
  <c r="A4325" i="1"/>
  <c r="A4326" i="1"/>
  <c r="A4327" i="1"/>
  <c r="A4328" i="1"/>
  <c r="B4328" i="1"/>
  <c r="A4329" i="1"/>
  <c r="B4329" i="1"/>
  <c r="A4330" i="1"/>
  <c r="B4330" i="1"/>
  <c r="A4331" i="1"/>
  <c r="B4331" i="1"/>
  <c r="A4332" i="1"/>
  <c r="B4332" i="1"/>
  <c r="A4333" i="1"/>
  <c r="B4333" i="1"/>
  <c r="A4334" i="1"/>
  <c r="B4334" i="1"/>
  <c r="A4335" i="1"/>
  <c r="B4335" i="1"/>
  <c r="A4336" i="1"/>
  <c r="B4336" i="1"/>
  <c r="A4337" i="1"/>
  <c r="B4337" i="1"/>
  <c r="A4338" i="1"/>
  <c r="B4338" i="1"/>
  <c r="A4339" i="1"/>
  <c r="B4339" i="1"/>
  <c r="A4340" i="1"/>
  <c r="B4340" i="1"/>
  <c r="A4341" i="1"/>
  <c r="A4342" i="1"/>
  <c r="B4342" i="1"/>
  <c r="A4343" i="1"/>
  <c r="B4343" i="1"/>
  <c r="A4344" i="1"/>
  <c r="B4344" i="1"/>
  <c r="A4345" i="1"/>
  <c r="B4345" i="1"/>
  <c r="A4346" i="1"/>
  <c r="A4347" i="1"/>
  <c r="B4347" i="1"/>
  <c r="A4348" i="1"/>
  <c r="B4348" i="1"/>
  <c r="A4349" i="1"/>
  <c r="B4349" i="1"/>
  <c r="A4350" i="1"/>
  <c r="B4350" i="1"/>
  <c r="A4351" i="1"/>
  <c r="B4351" i="1"/>
  <c r="A4352" i="1"/>
  <c r="B4352" i="1"/>
  <c r="A4353" i="1"/>
  <c r="A4354" i="1"/>
  <c r="B4354" i="1"/>
  <c r="A4355" i="1"/>
  <c r="A4356" i="1"/>
  <c r="B4356" i="1"/>
  <c r="A4357" i="1"/>
  <c r="B4357" i="1"/>
  <c r="A4358" i="1"/>
  <c r="B4358" i="1"/>
  <c r="A4359" i="1"/>
  <c r="A4360" i="1"/>
  <c r="B4360" i="1"/>
  <c r="A4361" i="1"/>
  <c r="B4361" i="1"/>
  <c r="A4362" i="1"/>
  <c r="B4362" i="1"/>
  <c r="A4363" i="1"/>
  <c r="B4363" i="1"/>
  <c r="A4364" i="1"/>
  <c r="A4365" i="1"/>
  <c r="B4365" i="1"/>
  <c r="A4366" i="1"/>
  <c r="B4366" i="1"/>
  <c r="A4367" i="1"/>
  <c r="B4367" i="1"/>
  <c r="A4368" i="1"/>
  <c r="A4369" i="1"/>
  <c r="B4369" i="1"/>
  <c r="A4370" i="1"/>
  <c r="B4370" i="1"/>
  <c r="A4371" i="1"/>
  <c r="B4371" i="1"/>
  <c r="A4372" i="1"/>
  <c r="B4372" i="1"/>
  <c r="A4373" i="1"/>
  <c r="B4373" i="1"/>
  <c r="A4374" i="1"/>
  <c r="B4374" i="1"/>
  <c r="A4375" i="1"/>
  <c r="B4375" i="1"/>
  <c r="A4376" i="1"/>
  <c r="B4376" i="1"/>
  <c r="A4377" i="1"/>
  <c r="B4377" i="1"/>
  <c r="A4378" i="1"/>
  <c r="B4378" i="1"/>
  <c r="A4379" i="1"/>
  <c r="B4379" i="1"/>
  <c r="A4380" i="1"/>
  <c r="B4380" i="1"/>
  <c r="A4381" i="1"/>
  <c r="B4381" i="1"/>
  <c r="A4382" i="1"/>
  <c r="B4382" i="1"/>
  <c r="A4383" i="1"/>
  <c r="A4384" i="1"/>
  <c r="B4384" i="1"/>
  <c r="A4385" i="1"/>
  <c r="B4385" i="1"/>
  <c r="A4386" i="1"/>
  <c r="B4386" i="1"/>
  <c r="A4387" i="1"/>
  <c r="B4387" i="1"/>
  <c r="A4388" i="1"/>
  <c r="B4388" i="1"/>
  <c r="A4389" i="1"/>
  <c r="B4389" i="1"/>
  <c r="A4390" i="1"/>
  <c r="B4390" i="1"/>
  <c r="A4391" i="1"/>
  <c r="B4391" i="1"/>
  <c r="A4392" i="1"/>
  <c r="B4392" i="1"/>
  <c r="A4393" i="1"/>
  <c r="B4393" i="1"/>
  <c r="A4394" i="1"/>
  <c r="B4394" i="1"/>
  <c r="A4395" i="1"/>
  <c r="B4395" i="1"/>
  <c r="A4396" i="1"/>
  <c r="B4396" i="1"/>
  <c r="A4397" i="1"/>
  <c r="B4397" i="1"/>
  <c r="A4398" i="1"/>
  <c r="A4399" i="1"/>
  <c r="B4399" i="1"/>
  <c r="A4400" i="1"/>
  <c r="B4400" i="1"/>
  <c r="A4401" i="1"/>
  <c r="B4401" i="1"/>
  <c r="A4402" i="1"/>
  <c r="B4402" i="1"/>
  <c r="A4403" i="1"/>
  <c r="B4403" i="1"/>
  <c r="A4404" i="1"/>
  <c r="B4404" i="1"/>
  <c r="A4405" i="1"/>
  <c r="B4405" i="1"/>
  <c r="A4406" i="1"/>
  <c r="B4406" i="1"/>
  <c r="A4407" i="1"/>
  <c r="B4407" i="1"/>
  <c r="A4408" i="1"/>
  <c r="A4409" i="1"/>
  <c r="A4410" i="1"/>
  <c r="B4410" i="1"/>
  <c r="A4411" i="1"/>
  <c r="A4412" i="1"/>
  <c r="A4413" i="1"/>
  <c r="A4414" i="1"/>
  <c r="A4415" i="1"/>
  <c r="A4416" i="1"/>
  <c r="A4417" i="1"/>
  <c r="A4418" i="1"/>
  <c r="A4419" i="1"/>
  <c r="A4420" i="1"/>
  <c r="B4420" i="1"/>
  <c r="A4421" i="1"/>
  <c r="B4421" i="1"/>
  <c r="A4422" i="1"/>
  <c r="B4422" i="1"/>
  <c r="A4423" i="1"/>
  <c r="B4423" i="1"/>
  <c r="A4424" i="1"/>
  <c r="B4424" i="1"/>
  <c r="A4425" i="1"/>
  <c r="B4425" i="1"/>
  <c r="A4426" i="1"/>
  <c r="B4426" i="1"/>
  <c r="A4427" i="1"/>
  <c r="B4427" i="1"/>
  <c r="A4428" i="1"/>
  <c r="A4429" i="1"/>
  <c r="B4429" i="1"/>
  <c r="A4430" i="1"/>
  <c r="A4431" i="1"/>
  <c r="B4431" i="1"/>
  <c r="A4432" i="1"/>
  <c r="B4432" i="1"/>
  <c r="A4433" i="1"/>
  <c r="A4434" i="1"/>
  <c r="B4434" i="1"/>
  <c r="A4435" i="1"/>
  <c r="B4435" i="1"/>
  <c r="A4436" i="1"/>
  <c r="B4436" i="1"/>
  <c r="A4437" i="1"/>
  <c r="B4437" i="1"/>
  <c r="A4438" i="1"/>
  <c r="B4438" i="1"/>
  <c r="A4439" i="1"/>
  <c r="B4439" i="1"/>
  <c r="A4440" i="1"/>
  <c r="B4440" i="1"/>
  <c r="A4441" i="1"/>
  <c r="A4442" i="1"/>
  <c r="B4442" i="1"/>
  <c r="A4443" i="1"/>
  <c r="A4444" i="1"/>
  <c r="A4445" i="1"/>
  <c r="A4446" i="1"/>
  <c r="B4446" i="1"/>
  <c r="A4447" i="1"/>
  <c r="B4447" i="1"/>
  <c r="A4448" i="1"/>
  <c r="B4448" i="1"/>
  <c r="A4449" i="1"/>
  <c r="B4449" i="1"/>
  <c r="A4450" i="1"/>
  <c r="B4450" i="1"/>
  <c r="A4451" i="1"/>
  <c r="B4451" i="1"/>
  <c r="A4452" i="1"/>
  <c r="B4452" i="1"/>
  <c r="A4453" i="1"/>
  <c r="B4453" i="1"/>
  <c r="A4454" i="1"/>
  <c r="B4454" i="1"/>
  <c r="A4455" i="1"/>
  <c r="B4455" i="1"/>
  <c r="A4456" i="1"/>
  <c r="A4457" i="1"/>
  <c r="B4457" i="1"/>
  <c r="A4458" i="1"/>
  <c r="B4458" i="1"/>
  <c r="A4459" i="1"/>
  <c r="B4459" i="1"/>
  <c r="A4460" i="1"/>
  <c r="B4460" i="1"/>
  <c r="A4461" i="1"/>
  <c r="B4461" i="1"/>
  <c r="A4462" i="1"/>
  <c r="A4463" i="1"/>
  <c r="B4463" i="1"/>
  <c r="A4464" i="1"/>
  <c r="B4464" i="1"/>
  <c r="A4465" i="1"/>
  <c r="B4465" i="1"/>
  <c r="A4466" i="1"/>
  <c r="B4466" i="1"/>
  <c r="A4467" i="1"/>
  <c r="B4467" i="1"/>
  <c r="A4468" i="1"/>
  <c r="A4469" i="1"/>
  <c r="B4469" i="1"/>
  <c r="A4470" i="1"/>
  <c r="B4470" i="1"/>
  <c r="A4471" i="1"/>
  <c r="B4471" i="1"/>
  <c r="A4472" i="1"/>
  <c r="B4472" i="1"/>
  <c r="A4473" i="1"/>
  <c r="B4473" i="1"/>
  <c r="A4474" i="1"/>
  <c r="B4474" i="1"/>
  <c r="A4475" i="1"/>
  <c r="B4475" i="1"/>
  <c r="A4476" i="1"/>
  <c r="B4476" i="1"/>
  <c r="A4477" i="1"/>
  <c r="B4477" i="1"/>
  <c r="A4478" i="1"/>
  <c r="B4478" i="1"/>
  <c r="A4479" i="1"/>
  <c r="B4479" i="1"/>
  <c r="A4480" i="1"/>
  <c r="B4480" i="1"/>
  <c r="A4481" i="1"/>
  <c r="A4482" i="1"/>
  <c r="B4482" i="1"/>
  <c r="A4483" i="1"/>
  <c r="B4483" i="1"/>
  <c r="A4484" i="1"/>
  <c r="B4484" i="1"/>
  <c r="A4485" i="1"/>
  <c r="A4486" i="1"/>
  <c r="B4486" i="1"/>
  <c r="A4487" i="1"/>
  <c r="A4488" i="1"/>
  <c r="A4489" i="1"/>
  <c r="B4489" i="1"/>
  <c r="A4490" i="1"/>
  <c r="A4491" i="1"/>
  <c r="B4491" i="1"/>
  <c r="A4492" i="1"/>
  <c r="B4492" i="1"/>
  <c r="A4493" i="1"/>
  <c r="B4493" i="1"/>
  <c r="A4494" i="1"/>
  <c r="A4495" i="1"/>
  <c r="A4496" i="1"/>
  <c r="A4497" i="1"/>
  <c r="B4497" i="1"/>
  <c r="A4498" i="1"/>
  <c r="B4498" i="1"/>
  <c r="A4499" i="1"/>
  <c r="B4499" i="1"/>
  <c r="A4500" i="1"/>
  <c r="B4500" i="1"/>
  <c r="A4501" i="1"/>
  <c r="A4502" i="1"/>
  <c r="B4502" i="1"/>
  <c r="A4503" i="1"/>
  <c r="A4504" i="1"/>
  <c r="A4505" i="1"/>
  <c r="A4506" i="1"/>
  <c r="A4507" i="1"/>
  <c r="B4507" i="1"/>
  <c r="A4508" i="1"/>
  <c r="B4508" i="1"/>
  <c r="A4509" i="1"/>
  <c r="B4509" i="1"/>
  <c r="A4510" i="1"/>
  <c r="B4510" i="1"/>
  <c r="A4511" i="1"/>
  <c r="B4511" i="1"/>
  <c r="A4512" i="1"/>
  <c r="A4513" i="1"/>
  <c r="A4514" i="1"/>
  <c r="B4514" i="1"/>
  <c r="A4515" i="1"/>
  <c r="B4515" i="1"/>
  <c r="A4516" i="1"/>
  <c r="B4516" i="1"/>
  <c r="A4517" i="1"/>
  <c r="A4518" i="1"/>
  <c r="A4519" i="1"/>
  <c r="A4520" i="1"/>
  <c r="A4521" i="1"/>
  <c r="A4522" i="1"/>
  <c r="B4522" i="1"/>
  <c r="A4523" i="1"/>
  <c r="A4524" i="1"/>
  <c r="B4524" i="1"/>
  <c r="A4525" i="1"/>
  <c r="A4526" i="1"/>
  <c r="A4527" i="1"/>
  <c r="A4528" i="1"/>
  <c r="A4529" i="1"/>
  <c r="A4530" i="1"/>
  <c r="A4531" i="1"/>
  <c r="A4532" i="1"/>
  <c r="B4532" i="1"/>
  <c r="A4533" i="1"/>
  <c r="B4533" i="1"/>
  <c r="A4534" i="1"/>
  <c r="A4535" i="1"/>
  <c r="B4535" i="1"/>
  <c r="A4536" i="1"/>
  <c r="A4537" i="1"/>
  <c r="B4537" i="1"/>
  <c r="A4538" i="1"/>
  <c r="B4538" i="1"/>
  <c r="A4539" i="1"/>
  <c r="B4539" i="1"/>
  <c r="A4540" i="1"/>
  <c r="B4540" i="1"/>
  <c r="A4541" i="1"/>
  <c r="B4541" i="1"/>
  <c r="A4542" i="1"/>
  <c r="B4542" i="1"/>
  <c r="A4543" i="1"/>
  <c r="A4544" i="1"/>
  <c r="B4544" i="1"/>
  <c r="A4545" i="1"/>
  <c r="B4545" i="1"/>
  <c r="A4546" i="1"/>
  <c r="B4546" i="1"/>
  <c r="A4547" i="1"/>
  <c r="A4548" i="1"/>
  <c r="B4548" i="1"/>
  <c r="A4549" i="1"/>
  <c r="B4549" i="1"/>
  <c r="A4550" i="1"/>
  <c r="B4550" i="1"/>
  <c r="A4551" i="1"/>
  <c r="B4551" i="1"/>
  <c r="A4552" i="1"/>
  <c r="B4552" i="1"/>
  <c r="A4553" i="1"/>
  <c r="A4554" i="1"/>
  <c r="B4554" i="1"/>
  <c r="A4555" i="1"/>
  <c r="B4555" i="1"/>
  <c r="A4556" i="1"/>
  <c r="B4556" i="1"/>
  <c r="A4557" i="1"/>
  <c r="B4557" i="1"/>
  <c r="A4558" i="1"/>
  <c r="B4558" i="1"/>
  <c r="A4559" i="1"/>
  <c r="B4559" i="1"/>
  <c r="A4560" i="1"/>
  <c r="B4560" i="1"/>
  <c r="A4561" i="1"/>
  <c r="B4561" i="1"/>
  <c r="A4562" i="1"/>
  <c r="A4563" i="1"/>
  <c r="B4563" i="1"/>
  <c r="A4564" i="1"/>
  <c r="B4564" i="1"/>
  <c r="A4565" i="1"/>
  <c r="B4565" i="1"/>
  <c r="A4566" i="1"/>
  <c r="B4566" i="1"/>
  <c r="A4567" i="1"/>
  <c r="B4567" i="1"/>
  <c r="A4568" i="1"/>
  <c r="B4568" i="1"/>
  <c r="A4569" i="1"/>
  <c r="B4569" i="1"/>
  <c r="A4570" i="1"/>
  <c r="A4571" i="1"/>
  <c r="A4572" i="1"/>
  <c r="B4572" i="1"/>
  <c r="A4573" i="1"/>
  <c r="B4573" i="1"/>
  <c r="A4574" i="1"/>
  <c r="B4574" i="1"/>
  <c r="A4575" i="1"/>
  <c r="B4575" i="1"/>
  <c r="A4576" i="1"/>
  <c r="B4576" i="1"/>
  <c r="A4577" i="1"/>
  <c r="B4577" i="1"/>
  <c r="A4578" i="1"/>
  <c r="A4579" i="1"/>
  <c r="A4580" i="1"/>
  <c r="B4580" i="1"/>
  <c r="A4581" i="1"/>
  <c r="B4581" i="1"/>
  <c r="A4582" i="1"/>
  <c r="B4582" i="1"/>
  <c r="A4583" i="1"/>
  <c r="B4583" i="1"/>
  <c r="A4584" i="1"/>
  <c r="B4584" i="1"/>
  <c r="A4585" i="1"/>
  <c r="B4585" i="1"/>
  <c r="A4586" i="1"/>
  <c r="B4586" i="1"/>
  <c r="A4587" i="1"/>
  <c r="B4587" i="1"/>
  <c r="A4588" i="1"/>
  <c r="B4588" i="1"/>
  <c r="A4589" i="1"/>
  <c r="B4589" i="1"/>
  <c r="A4590" i="1"/>
  <c r="A4591" i="1"/>
  <c r="B4591" i="1"/>
  <c r="A4592" i="1"/>
  <c r="B4592" i="1"/>
  <c r="A4593" i="1"/>
  <c r="B4593" i="1"/>
  <c r="A4594" i="1"/>
  <c r="B4594" i="1"/>
  <c r="A4595" i="1"/>
  <c r="B4595" i="1"/>
  <c r="A4596" i="1"/>
  <c r="B4596" i="1"/>
  <c r="A4597" i="1"/>
  <c r="B4597" i="1"/>
  <c r="A4598" i="1"/>
  <c r="B4598" i="1"/>
  <c r="A4599" i="1"/>
  <c r="B4599" i="1"/>
  <c r="A4600" i="1"/>
  <c r="A4601" i="1"/>
  <c r="B4601" i="1"/>
  <c r="A4602" i="1"/>
  <c r="B4602" i="1"/>
  <c r="A4603" i="1"/>
  <c r="B4603" i="1"/>
  <c r="A4604" i="1"/>
  <c r="A4605" i="1"/>
  <c r="B4605" i="1"/>
  <c r="A4606" i="1"/>
  <c r="B4606" i="1"/>
  <c r="A4607" i="1"/>
  <c r="B4607" i="1"/>
  <c r="A4608" i="1"/>
  <c r="A4609" i="1"/>
  <c r="B4609" i="1"/>
  <c r="A4610" i="1"/>
  <c r="B4610" i="1"/>
  <c r="A4611" i="1"/>
  <c r="A4612" i="1"/>
  <c r="B4612" i="1"/>
  <c r="A4613" i="1"/>
  <c r="B4613" i="1"/>
  <c r="A4614" i="1"/>
  <c r="B4614" i="1"/>
  <c r="A4615" i="1"/>
  <c r="B4615" i="1"/>
  <c r="A4616" i="1"/>
  <c r="B4616" i="1"/>
  <c r="A4617" i="1"/>
  <c r="B4617" i="1"/>
  <c r="A4618" i="1"/>
  <c r="B4618" i="1"/>
  <c r="A4619" i="1"/>
  <c r="A4620" i="1"/>
  <c r="B4620" i="1"/>
  <c r="A4621" i="1"/>
  <c r="B4621" i="1"/>
  <c r="A4622" i="1"/>
  <c r="B4622" i="1"/>
  <c r="A4623" i="1"/>
  <c r="B4623" i="1"/>
  <c r="A4624" i="1"/>
  <c r="B4624" i="1"/>
  <c r="A4625" i="1"/>
  <c r="B4625" i="1"/>
  <c r="A4626" i="1"/>
  <c r="B4626" i="1"/>
  <c r="A4627" i="1"/>
  <c r="B4627" i="1"/>
  <c r="A4628" i="1"/>
  <c r="B4628" i="1"/>
  <c r="A4629" i="1"/>
  <c r="B4629" i="1"/>
  <c r="A4630" i="1"/>
  <c r="B4630" i="1"/>
  <c r="A4631" i="1"/>
  <c r="B4631" i="1"/>
  <c r="A4632" i="1"/>
  <c r="B4632" i="1"/>
  <c r="A4633" i="1"/>
  <c r="B4633" i="1"/>
  <c r="A4634" i="1"/>
  <c r="B4634" i="1"/>
  <c r="A4635" i="1"/>
  <c r="B4635" i="1"/>
  <c r="A4636" i="1"/>
  <c r="B4636" i="1"/>
  <c r="A4637" i="1"/>
  <c r="B4637" i="1"/>
  <c r="A4638" i="1"/>
  <c r="A4639" i="1"/>
  <c r="B4639" i="1"/>
  <c r="A4640" i="1"/>
  <c r="B4640" i="1"/>
  <c r="A4641" i="1"/>
  <c r="A4642" i="1"/>
  <c r="A4643" i="1"/>
  <c r="B4643" i="1"/>
  <c r="A4644" i="1"/>
  <c r="A4645" i="1"/>
  <c r="B4645" i="1"/>
  <c r="A4646" i="1"/>
  <c r="B4646" i="1"/>
  <c r="A4647" i="1"/>
  <c r="B4647" i="1"/>
  <c r="A4648" i="1"/>
  <c r="B4648" i="1"/>
  <c r="A4649" i="1"/>
  <c r="B4649" i="1"/>
  <c r="A4650" i="1"/>
  <c r="B4650" i="1"/>
  <c r="A4651" i="1"/>
  <c r="A4652" i="1"/>
  <c r="B4652" i="1"/>
  <c r="A4653" i="1"/>
  <c r="B4653" i="1"/>
  <c r="A4654" i="1"/>
  <c r="B4654" i="1"/>
  <c r="A4655" i="1"/>
  <c r="B4655" i="1"/>
  <c r="A4656" i="1"/>
  <c r="A4657" i="1"/>
  <c r="B4657" i="1"/>
  <c r="A4658" i="1"/>
  <c r="B4658" i="1"/>
  <c r="A4659" i="1"/>
  <c r="A4660" i="1"/>
  <c r="B4660" i="1"/>
  <c r="A4661" i="1"/>
  <c r="B4661" i="1"/>
  <c r="A4662" i="1"/>
  <c r="B4662" i="1"/>
  <c r="A4663" i="1"/>
  <c r="B4663" i="1"/>
  <c r="A4664" i="1"/>
  <c r="B4664" i="1"/>
  <c r="A4665" i="1"/>
  <c r="A4666" i="1"/>
  <c r="B4666" i="1"/>
  <c r="A4667" i="1"/>
  <c r="B4667" i="1"/>
  <c r="A4668" i="1"/>
  <c r="B4668" i="1"/>
  <c r="A4669" i="1"/>
  <c r="B4669" i="1"/>
  <c r="A4670" i="1"/>
  <c r="A4671" i="1"/>
  <c r="A4672" i="1"/>
  <c r="B4672" i="1"/>
  <c r="A4673" i="1"/>
  <c r="B4673" i="1"/>
  <c r="A4674" i="1"/>
  <c r="B4674" i="1"/>
  <c r="A4675" i="1"/>
  <c r="B4675" i="1"/>
  <c r="A4676" i="1"/>
  <c r="B4676" i="1"/>
  <c r="A4677" i="1"/>
  <c r="B4677" i="1"/>
  <c r="A4678" i="1"/>
  <c r="B4678" i="1"/>
  <c r="A4679" i="1"/>
  <c r="B4679" i="1"/>
  <c r="A4680" i="1"/>
  <c r="A4681" i="1"/>
  <c r="B4681" i="1"/>
  <c r="A4682" i="1"/>
  <c r="B4682" i="1"/>
  <c r="A4683" i="1"/>
  <c r="B4683" i="1"/>
  <c r="A4684" i="1"/>
  <c r="B4684" i="1"/>
  <c r="A4685" i="1"/>
  <c r="B4685" i="1"/>
  <c r="A4686" i="1"/>
  <c r="B4686" i="1"/>
  <c r="A4687" i="1"/>
  <c r="B4687" i="1"/>
  <c r="A4688" i="1"/>
  <c r="B4688" i="1"/>
  <c r="A4689" i="1"/>
  <c r="B4689" i="1"/>
  <c r="A4690" i="1"/>
  <c r="B4690" i="1"/>
  <c r="A4691" i="1"/>
  <c r="B4691" i="1"/>
  <c r="A4692" i="1"/>
  <c r="B4692" i="1"/>
  <c r="A4693" i="1"/>
  <c r="A4694" i="1"/>
  <c r="B4694" i="1"/>
  <c r="A4695" i="1"/>
  <c r="B4695" i="1"/>
  <c r="A4696" i="1"/>
  <c r="B4696" i="1"/>
  <c r="A4697" i="1"/>
  <c r="B4697" i="1"/>
  <c r="A4698" i="1"/>
  <c r="B4698" i="1"/>
  <c r="A4699" i="1"/>
  <c r="B4699" i="1"/>
  <c r="A4700" i="1"/>
  <c r="B4700" i="1"/>
  <c r="A4701" i="1"/>
  <c r="B4701" i="1"/>
  <c r="A4702" i="1"/>
  <c r="B4702" i="1"/>
  <c r="A4703" i="1"/>
  <c r="B4703" i="1"/>
  <c r="A4704" i="1"/>
  <c r="B4704" i="1"/>
  <c r="A4705" i="1"/>
  <c r="B4705" i="1"/>
  <c r="A4706" i="1"/>
  <c r="B4706" i="1"/>
  <c r="A4707" i="1"/>
  <c r="B4707" i="1"/>
  <c r="A4708" i="1"/>
  <c r="A4709" i="1"/>
  <c r="A4710" i="1"/>
  <c r="A4711" i="1"/>
  <c r="A4712" i="1"/>
  <c r="A4713" i="1"/>
  <c r="A4714" i="1"/>
  <c r="A4715" i="1"/>
  <c r="A4716" i="1"/>
  <c r="B4716" i="1"/>
  <c r="A4717" i="1"/>
  <c r="B4717" i="1"/>
  <c r="A4718" i="1"/>
  <c r="A4719" i="1"/>
  <c r="A4720" i="1"/>
  <c r="B4720" i="1"/>
  <c r="A4721" i="1"/>
  <c r="A4722" i="1"/>
  <c r="B4722" i="1"/>
  <c r="A4723" i="1"/>
  <c r="A4724" i="1"/>
  <c r="A4725" i="1"/>
  <c r="B4725" i="1"/>
  <c r="A4726" i="1"/>
  <c r="A4727" i="1"/>
  <c r="B4727" i="1"/>
  <c r="A4728" i="1"/>
  <c r="B4728" i="1"/>
  <c r="A4729" i="1"/>
  <c r="B4729" i="1"/>
  <c r="A4730" i="1"/>
  <c r="B4730" i="1"/>
  <c r="A4731" i="1"/>
  <c r="B4731" i="1"/>
  <c r="A4732" i="1"/>
  <c r="B4732" i="1"/>
  <c r="A4733" i="1"/>
  <c r="B4733" i="1"/>
  <c r="A4734" i="1"/>
  <c r="A4735" i="1"/>
  <c r="A4736" i="1"/>
  <c r="A4737" i="1"/>
  <c r="B4737" i="1"/>
  <c r="A4738" i="1"/>
  <c r="B4738" i="1"/>
  <c r="A4739" i="1"/>
  <c r="B4739" i="1"/>
  <c r="A4740" i="1"/>
  <c r="B4740" i="1"/>
  <c r="A4741" i="1"/>
  <c r="B4741" i="1"/>
  <c r="A4742" i="1"/>
  <c r="A4743" i="1"/>
  <c r="B4743" i="1"/>
  <c r="A4744" i="1"/>
  <c r="B4744" i="1"/>
  <c r="A4745" i="1"/>
  <c r="A4746" i="1"/>
  <c r="A4747" i="1"/>
  <c r="B4747" i="1"/>
  <c r="A4748" i="1"/>
  <c r="B4748" i="1"/>
  <c r="A4749" i="1"/>
  <c r="B4749" i="1"/>
  <c r="A4750" i="1"/>
  <c r="B4750" i="1"/>
  <c r="A4751" i="1"/>
  <c r="B4751" i="1"/>
  <c r="A4752" i="1"/>
  <c r="A4753" i="1"/>
  <c r="B4753" i="1"/>
  <c r="A4754" i="1"/>
  <c r="A4755" i="1"/>
  <c r="A4756" i="1"/>
  <c r="B4756" i="1"/>
  <c r="A4757" i="1"/>
  <c r="A4758" i="1"/>
  <c r="B4758" i="1"/>
  <c r="A4759" i="1"/>
  <c r="A4760" i="1"/>
  <c r="A4761" i="1"/>
  <c r="A4762" i="1"/>
  <c r="A4763" i="1"/>
  <c r="A4764" i="1"/>
  <c r="B4764" i="1"/>
  <c r="A4765" i="1"/>
  <c r="B4765" i="1"/>
  <c r="A4766" i="1"/>
  <c r="B4766" i="1"/>
  <c r="A4767" i="1"/>
  <c r="A4768" i="1"/>
  <c r="B4768" i="1"/>
  <c r="A4769" i="1"/>
  <c r="A4770" i="1"/>
  <c r="A4771" i="1"/>
  <c r="A4772" i="1"/>
  <c r="B4772" i="1"/>
  <c r="A4773" i="1"/>
  <c r="B4773" i="1"/>
  <c r="A4774" i="1"/>
  <c r="B4774" i="1"/>
  <c r="A4775" i="1"/>
  <c r="A4776" i="1"/>
  <c r="B4776" i="1"/>
  <c r="A4777" i="1"/>
  <c r="B4777" i="1"/>
  <c r="A4778" i="1"/>
  <c r="A4779" i="1"/>
  <c r="A4780" i="1"/>
  <c r="A4781" i="1"/>
  <c r="A4782" i="1"/>
  <c r="A4783" i="1"/>
  <c r="A4784" i="1"/>
  <c r="A4785" i="1"/>
  <c r="B4785" i="1"/>
  <c r="A4786" i="1"/>
  <c r="A4787" i="1"/>
  <c r="B4787" i="1"/>
  <c r="A4788" i="1"/>
  <c r="B4788" i="1"/>
  <c r="A4789" i="1"/>
  <c r="B4789" i="1"/>
  <c r="A4790" i="1"/>
  <c r="A4791" i="1"/>
  <c r="B4791" i="1"/>
  <c r="A4792" i="1"/>
  <c r="B4792" i="1"/>
  <c r="A4793" i="1"/>
  <c r="B4793" i="1"/>
  <c r="A4794" i="1"/>
  <c r="B4794" i="1"/>
  <c r="A4795" i="1"/>
  <c r="B4795" i="1"/>
  <c r="A4796" i="1"/>
  <c r="B4796" i="1"/>
  <c r="A4797" i="1"/>
  <c r="B4797" i="1"/>
  <c r="A4798" i="1"/>
  <c r="B4798" i="1"/>
  <c r="A4799" i="1"/>
  <c r="B4799" i="1"/>
  <c r="A4800" i="1"/>
  <c r="A4801" i="1"/>
  <c r="B4801" i="1"/>
  <c r="A4802" i="1"/>
  <c r="B4802" i="1"/>
  <c r="A4803" i="1"/>
  <c r="B4803" i="1"/>
  <c r="A4804" i="1"/>
  <c r="A4805" i="1"/>
  <c r="B4805" i="1"/>
  <c r="A4806" i="1"/>
  <c r="B4806" i="1"/>
  <c r="A4807" i="1"/>
  <c r="B4807" i="1"/>
  <c r="A4808" i="1"/>
  <c r="B4808" i="1"/>
  <c r="A4809" i="1"/>
  <c r="B4809" i="1"/>
  <c r="A4810" i="1"/>
  <c r="B4810" i="1"/>
  <c r="A4811" i="1"/>
  <c r="B4811" i="1"/>
  <c r="A4812" i="1"/>
  <c r="B4812" i="1"/>
  <c r="A4813" i="1"/>
  <c r="B4813" i="1"/>
  <c r="A4814" i="1"/>
  <c r="B4814" i="1"/>
  <c r="A4815" i="1"/>
  <c r="B4815" i="1"/>
  <c r="A4816" i="1"/>
  <c r="B4816" i="1"/>
  <c r="A4817" i="1"/>
  <c r="B4817" i="1"/>
  <c r="A4818" i="1"/>
  <c r="B4818" i="1"/>
  <c r="A4819" i="1"/>
  <c r="B4819" i="1"/>
  <c r="A4820" i="1"/>
  <c r="B4820" i="1"/>
  <c r="A4821" i="1"/>
  <c r="B4821" i="1"/>
  <c r="A4822" i="1"/>
  <c r="B4822" i="1"/>
  <c r="A4823" i="1"/>
  <c r="A4824" i="1"/>
  <c r="A4825" i="1"/>
  <c r="B4825" i="1"/>
  <c r="A4826" i="1"/>
  <c r="B4826" i="1"/>
  <c r="A4827" i="1"/>
  <c r="B4827" i="1"/>
  <c r="A4828" i="1"/>
  <c r="B4828" i="1"/>
  <c r="A4829" i="1"/>
  <c r="B4829" i="1"/>
  <c r="A4830" i="1"/>
  <c r="B4830" i="1"/>
  <c r="A4831" i="1"/>
  <c r="B4831" i="1"/>
  <c r="A4832" i="1"/>
  <c r="B4832" i="1"/>
  <c r="A4833" i="1"/>
  <c r="B4833" i="1"/>
  <c r="A4834" i="1"/>
  <c r="B4834" i="1"/>
  <c r="A4835" i="1"/>
  <c r="B4835" i="1"/>
  <c r="A4836" i="1"/>
  <c r="A4837" i="1"/>
  <c r="A4838" i="1"/>
  <c r="B4838" i="1"/>
  <c r="A4839" i="1"/>
  <c r="B4839" i="1"/>
  <c r="A4840" i="1"/>
  <c r="B4840" i="1"/>
  <c r="A4841" i="1"/>
  <c r="B4841" i="1"/>
  <c r="A4842" i="1"/>
  <c r="B4842" i="1"/>
  <c r="A4843" i="1"/>
  <c r="A4844" i="1"/>
  <c r="A4845" i="1"/>
  <c r="B4845" i="1"/>
  <c r="A4846" i="1"/>
  <c r="B4846" i="1"/>
  <c r="A4847" i="1"/>
  <c r="B4847" i="1"/>
  <c r="A4848" i="1"/>
  <c r="B4848" i="1"/>
  <c r="A4849" i="1"/>
  <c r="B4849" i="1"/>
  <c r="A4850" i="1"/>
  <c r="B4850" i="1"/>
  <c r="A4851" i="1"/>
  <c r="B4851" i="1"/>
  <c r="A4852" i="1"/>
  <c r="B4852" i="1"/>
  <c r="A4853" i="1"/>
  <c r="A4854" i="1"/>
  <c r="B4854" i="1"/>
  <c r="A4855" i="1"/>
  <c r="B4855" i="1"/>
  <c r="A4856" i="1"/>
  <c r="B4856" i="1"/>
  <c r="A4857" i="1"/>
  <c r="B4857" i="1"/>
  <c r="A4858" i="1"/>
  <c r="B4858" i="1"/>
  <c r="A4859" i="1"/>
  <c r="B4859" i="1"/>
  <c r="A4860" i="1"/>
  <c r="A4861" i="1"/>
  <c r="B4861" i="1"/>
  <c r="A4862" i="1"/>
  <c r="B4862" i="1"/>
  <c r="A4863" i="1"/>
  <c r="B4863" i="1"/>
  <c r="A4864" i="1"/>
  <c r="B4864" i="1"/>
  <c r="A4865" i="1"/>
  <c r="B4865" i="1"/>
  <c r="A4866" i="1"/>
  <c r="B4866" i="1"/>
  <c r="A4867" i="1"/>
  <c r="B4867" i="1"/>
  <c r="A4868" i="1"/>
  <c r="B4868" i="1"/>
  <c r="A4869" i="1"/>
  <c r="A4870" i="1"/>
  <c r="A4871" i="1"/>
  <c r="A4872" i="1"/>
  <c r="B4872" i="1"/>
  <c r="A4873" i="1"/>
  <c r="B4873" i="1"/>
  <c r="A4874" i="1"/>
  <c r="A4875" i="1"/>
  <c r="A4876" i="1"/>
  <c r="A4877" i="1"/>
  <c r="B4877" i="1"/>
  <c r="A4878" i="1"/>
  <c r="B4878" i="1"/>
  <c r="A4879" i="1"/>
  <c r="B4879" i="1"/>
  <c r="A4880" i="1"/>
  <c r="B4880" i="1"/>
  <c r="A4881" i="1"/>
  <c r="B4881" i="1"/>
  <c r="A4882" i="1"/>
  <c r="B4882" i="1"/>
  <c r="A4883" i="1"/>
  <c r="B4883" i="1"/>
  <c r="A4884" i="1"/>
  <c r="B4884" i="1"/>
  <c r="A4885" i="1"/>
  <c r="B4885" i="1"/>
  <c r="A4886" i="1"/>
  <c r="B4886" i="1"/>
  <c r="A4887" i="1"/>
  <c r="B4887" i="1"/>
  <c r="A4888" i="1"/>
  <c r="B4888" i="1"/>
  <c r="A4889" i="1"/>
  <c r="A4890" i="1"/>
  <c r="B4890" i="1"/>
  <c r="A4891" i="1"/>
  <c r="B4891" i="1"/>
  <c r="A4892" i="1"/>
  <c r="B4892" i="1"/>
  <c r="A4893" i="1"/>
  <c r="B4893" i="1"/>
  <c r="A4894" i="1"/>
  <c r="B4894" i="1"/>
  <c r="A4895" i="1"/>
  <c r="B4895" i="1"/>
  <c r="A4896" i="1"/>
  <c r="B4896" i="1"/>
  <c r="A4897" i="1"/>
  <c r="B4897" i="1"/>
  <c r="A4898" i="1"/>
  <c r="B4898" i="1"/>
  <c r="A4899" i="1"/>
  <c r="B4899" i="1"/>
  <c r="A4900" i="1"/>
  <c r="B4900" i="1"/>
  <c r="A4901" i="1"/>
  <c r="B4901" i="1"/>
  <c r="A4902" i="1"/>
  <c r="B4902" i="1"/>
  <c r="A4903" i="1"/>
  <c r="A4904" i="1"/>
  <c r="B4904" i="1"/>
  <c r="A4905" i="1"/>
  <c r="B4905" i="1"/>
  <c r="A4906" i="1"/>
  <c r="B4906" i="1"/>
  <c r="A4907" i="1"/>
  <c r="B4907" i="1"/>
  <c r="A4908" i="1"/>
  <c r="B4908" i="1"/>
  <c r="A4909" i="1"/>
  <c r="B4909" i="1"/>
  <c r="A4910" i="1"/>
  <c r="B4910" i="1"/>
  <c r="A4911" i="1"/>
  <c r="B4911" i="1"/>
  <c r="A4912" i="1"/>
  <c r="B4912" i="1"/>
  <c r="A4913" i="1"/>
  <c r="A4914" i="1"/>
  <c r="B4914" i="1"/>
  <c r="A4915" i="1"/>
  <c r="B4915" i="1"/>
  <c r="A4916" i="1"/>
  <c r="B4916" i="1"/>
  <c r="A4917" i="1"/>
  <c r="B4917" i="1"/>
  <c r="A4918" i="1"/>
  <c r="B4918" i="1"/>
  <c r="A4919" i="1"/>
  <c r="A4920" i="1"/>
  <c r="B4920" i="1"/>
  <c r="A4921" i="1"/>
  <c r="B4921" i="1"/>
  <c r="A4922" i="1"/>
  <c r="B4922" i="1"/>
  <c r="A4923" i="1"/>
  <c r="B4923" i="1"/>
  <c r="A4924" i="1"/>
  <c r="B4924" i="1"/>
  <c r="A4925" i="1"/>
  <c r="B4925" i="1"/>
  <c r="A4926" i="1"/>
  <c r="B4926" i="1"/>
  <c r="A4927" i="1"/>
  <c r="B4927" i="1"/>
  <c r="A4928" i="1"/>
  <c r="B4928" i="1"/>
  <c r="A4929" i="1"/>
  <c r="B4929" i="1"/>
  <c r="A4930" i="1"/>
  <c r="B4930" i="1"/>
  <c r="A4931" i="1"/>
  <c r="B4931" i="1"/>
  <c r="A4932" i="1"/>
  <c r="B4932" i="1"/>
  <c r="A4933" i="1"/>
  <c r="B4933" i="1"/>
  <c r="A4934" i="1"/>
  <c r="B4934" i="1"/>
  <c r="A4935" i="1"/>
  <c r="B4935" i="1"/>
  <c r="A4936" i="1"/>
  <c r="B4936" i="1"/>
  <c r="A4937" i="1"/>
  <c r="B4937" i="1"/>
  <c r="A4938" i="1"/>
  <c r="B4938" i="1"/>
  <c r="A4939" i="1"/>
  <c r="B4939" i="1"/>
  <c r="A4940" i="1"/>
  <c r="B4940" i="1"/>
  <c r="A4941" i="1"/>
  <c r="B4941" i="1"/>
  <c r="A4942" i="1"/>
  <c r="B4942" i="1"/>
  <c r="A4943" i="1"/>
  <c r="B4943" i="1"/>
  <c r="A4944" i="1"/>
  <c r="A4945" i="1"/>
  <c r="B4945" i="1"/>
  <c r="A4946" i="1"/>
  <c r="A4947" i="1"/>
  <c r="B4947" i="1"/>
  <c r="A4948" i="1"/>
  <c r="B4948" i="1"/>
  <c r="A4949" i="1"/>
  <c r="B4949" i="1"/>
  <c r="A4950" i="1"/>
  <c r="B4950" i="1"/>
  <c r="A4951" i="1"/>
  <c r="B4951" i="1"/>
  <c r="A4952" i="1"/>
  <c r="B4952" i="1"/>
  <c r="A4953" i="1"/>
  <c r="B4953" i="1"/>
  <c r="A4954" i="1"/>
  <c r="B4954" i="1"/>
  <c r="A4955" i="1"/>
  <c r="A4956" i="1"/>
  <c r="B4956" i="1"/>
  <c r="A4957" i="1"/>
  <c r="B4957" i="1"/>
  <c r="A4958" i="1"/>
  <c r="B4958" i="1"/>
  <c r="A4959" i="1"/>
  <c r="B4959" i="1"/>
  <c r="A4960" i="1"/>
  <c r="B4960" i="1"/>
  <c r="A4961" i="1"/>
  <c r="B4961" i="1"/>
  <c r="A4962" i="1"/>
  <c r="B4962" i="1"/>
  <c r="A4963" i="1"/>
  <c r="B4963" i="1"/>
  <c r="A4964" i="1"/>
  <c r="B4964" i="1"/>
  <c r="A4965" i="1"/>
  <c r="B4965" i="1"/>
  <c r="A4966" i="1"/>
  <c r="B4966" i="1"/>
  <c r="A4967" i="1"/>
  <c r="A4968" i="1"/>
  <c r="B4968" i="1"/>
  <c r="A4969" i="1"/>
  <c r="B4969" i="1"/>
  <c r="A4970" i="1"/>
  <c r="B4970" i="1"/>
  <c r="A4971" i="1"/>
  <c r="B4971" i="1"/>
  <c r="A4972" i="1"/>
  <c r="A4973" i="1"/>
  <c r="B4973" i="1"/>
  <c r="A4974" i="1"/>
  <c r="B4974" i="1"/>
  <c r="A4975" i="1"/>
  <c r="B4975" i="1"/>
  <c r="A4976" i="1"/>
  <c r="B4976" i="1"/>
  <c r="A4977" i="1"/>
  <c r="A4978" i="1"/>
  <c r="B4978" i="1"/>
  <c r="A4979" i="1"/>
  <c r="B4979" i="1"/>
  <c r="A4980" i="1"/>
  <c r="A4981" i="1"/>
  <c r="B4981" i="1"/>
  <c r="A4982" i="1"/>
  <c r="A4983" i="1"/>
  <c r="A4984" i="1"/>
  <c r="B4984" i="1"/>
  <c r="A4985" i="1"/>
  <c r="B4985" i="1"/>
  <c r="A4986" i="1"/>
  <c r="A4987" i="1"/>
  <c r="A4988" i="1"/>
  <c r="A4989" i="1"/>
  <c r="A4990" i="1"/>
  <c r="A4991" i="1"/>
  <c r="B4991" i="1"/>
  <c r="A4992" i="1"/>
  <c r="B4992" i="1"/>
  <c r="A4993" i="1"/>
  <c r="B4993" i="1"/>
  <c r="A4994" i="1"/>
  <c r="B4994" i="1"/>
  <c r="A4995" i="1"/>
  <c r="B4995" i="1"/>
  <c r="A4996" i="1"/>
  <c r="B4996" i="1"/>
  <c r="A4997" i="1"/>
  <c r="B4997" i="1"/>
  <c r="A4998" i="1"/>
  <c r="B4998" i="1"/>
  <c r="A4999" i="1"/>
  <c r="B4999" i="1"/>
  <c r="A5000" i="1"/>
  <c r="A5001" i="1"/>
  <c r="A5002" i="1"/>
  <c r="A5003" i="1"/>
  <c r="A5004" i="1"/>
  <c r="B5004" i="1"/>
  <c r="A5005" i="1"/>
  <c r="B5005" i="1"/>
  <c r="A5006" i="1"/>
  <c r="B5006" i="1"/>
  <c r="A5007" i="1"/>
  <c r="B5007" i="1"/>
  <c r="A5008" i="1"/>
  <c r="B5008" i="1"/>
  <c r="A5009" i="1"/>
  <c r="B5009" i="1"/>
  <c r="A5010" i="1"/>
  <c r="B5010" i="1"/>
  <c r="A5011" i="1"/>
  <c r="B5011" i="1"/>
  <c r="A5012" i="1"/>
  <c r="B5012" i="1"/>
  <c r="A5013" i="1"/>
  <c r="A5014" i="1"/>
  <c r="B5014" i="1"/>
  <c r="A5015" i="1"/>
  <c r="A5016" i="1"/>
  <c r="A5017" i="1"/>
  <c r="A5018" i="1"/>
  <c r="A5019" i="1"/>
  <c r="B5019" i="1"/>
  <c r="A5020" i="1"/>
  <c r="B5020" i="1"/>
  <c r="A5021" i="1"/>
  <c r="B5021" i="1"/>
  <c r="A5022" i="1"/>
  <c r="A5023" i="1"/>
  <c r="B5023" i="1"/>
  <c r="A5024" i="1"/>
  <c r="B5024" i="1"/>
  <c r="A5025" i="1"/>
  <c r="B5025" i="1"/>
  <c r="A5026" i="1"/>
  <c r="B5026" i="1"/>
  <c r="A5027" i="1"/>
  <c r="B5027" i="1"/>
  <c r="A5028" i="1"/>
  <c r="B5028" i="1"/>
  <c r="A5029" i="1"/>
  <c r="B5029" i="1"/>
  <c r="A5030" i="1"/>
  <c r="A5031" i="1"/>
  <c r="B5031" i="1"/>
  <c r="A5032" i="1"/>
  <c r="B5032" i="1"/>
  <c r="A5033" i="1"/>
  <c r="B5033" i="1"/>
  <c r="A5034" i="1"/>
  <c r="B5034" i="1"/>
  <c r="A5035" i="1"/>
  <c r="B5035" i="1"/>
  <c r="A5036" i="1"/>
  <c r="B5036" i="1"/>
  <c r="A5037" i="1"/>
  <c r="A5038" i="1"/>
  <c r="B5038" i="1"/>
  <c r="A5039" i="1"/>
  <c r="B5039" i="1"/>
  <c r="A5040" i="1"/>
  <c r="B5040" i="1"/>
  <c r="A5041" i="1"/>
  <c r="B5041" i="1"/>
  <c r="A5042" i="1"/>
  <c r="B5042" i="1"/>
  <c r="A5043" i="1"/>
  <c r="B5043" i="1"/>
  <c r="A5044" i="1"/>
  <c r="B5044" i="1"/>
  <c r="A5045" i="1"/>
  <c r="B5045" i="1"/>
  <c r="A5046" i="1"/>
  <c r="B5046" i="1"/>
  <c r="A5047" i="1"/>
  <c r="B5047" i="1"/>
  <c r="A5048" i="1"/>
  <c r="B5048" i="1"/>
  <c r="A5049" i="1"/>
  <c r="B5049" i="1"/>
  <c r="A5050" i="1"/>
  <c r="A5051" i="1"/>
  <c r="B5051" i="1"/>
  <c r="A5052" i="1"/>
  <c r="B5052" i="1"/>
  <c r="A5053" i="1"/>
  <c r="B5053" i="1"/>
  <c r="A5054" i="1"/>
  <c r="B5054" i="1"/>
  <c r="A5055" i="1"/>
  <c r="A5056" i="1"/>
  <c r="B5056" i="1"/>
  <c r="A5057" i="1"/>
  <c r="B5057" i="1"/>
  <c r="A5058" i="1"/>
  <c r="B5058" i="1"/>
  <c r="A5059" i="1"/>
  <c r="B5059" i="1"/>
  <c r="A5060" i="1"/>
  <c r="A5061" i="1"/>
  <c r="A5062" i="1"/>
  <c r="B5062" i="1"/>
  <c r="A5063" i="1"/>
  <c r="B5063" i="1"/>
  <c r="A5064" i="1"/>
  <c r="A5065" i="1"/>
  <c r="B5065" i="1"/>
  <c r="A5066" i="1"/>
  <c r="B5066" i="1"/>
  <c r="A5067" i="1"/>
  <c r="B5067" i="1"/>
  <c r="A5068" i="1"/>
  <c r="B5068" i="1"/>
  <c r="A5069" i="1"/>
  <c r="B5069" i="1"/>
  <c r="A5070" i="1"/>
  <c r="B5070" i="1"/>
  <c r="A5071" i="1"/>
  <c r="B5071" i="1"/>
  <c r="A5072" i="1"/>
  <c r="B5072" i="1"/>
  <c r="A5073" i="1"/>
  <c r="B5073" i="1"/>
  <c r="A5074" i="1"/>
  <c r="A5075" i="1"/>
  <c r="B5075" i="1"/>
  <c r="A5076" i="1"/>
  <c r="B5076" i="1"/>
  <c r="A5077" i="1"/>
  <c r="B5077" i="1"/>
  <c r="A5078" i="1"/>
  <c r="B5078" i="1"/>
  <c r="A5079" i="1"/>
  <c r="B5079" i="1"/>
  <c r="A5080" i="1"/>
  <c r="B5080" i="1"/>
  <c r="A5081" i="1"/>
  <c r="B5081" i="1"/>
  <c r="A5082" i="1"/>
  <c r="B5082" i="1"/>
  <c r="A5083" i="1"/>
  <c r="B5083" i="1"/>
  <c r="A5084" i="1"/>
  <c r="B5084" i="1"/>
  <c r="A5085" i="1"/>
  <c r="B5085" i="1"/>
  <c r="A5086" i="1"/>
  <c r="B5086" i="1"/>
  <c r="A5087" i="1"/>
  <c r="B5087" i="1"/>
  <c r="A5088" i="1"/>
  <c r="B5088" i="1"/>
  <c r="A5089" i="1"/>
  <c r="B5089" i="1"/>
  <c r="A5090" i="1"/>
  <c r="B5090" i="1"/>
  <c r="A5091" i="1"/>
  <c r="B5091" i="1"/>
  <c r="A5092" i="1"/>
  <c r="B5092" i="1"/>
  <c r="A5093" i="1"/>
  <c r="B5093" i="1"/>
  <c r="A5094" i="1"/>
  <c r="B5094" i="1"/>
  <c r="A5095" i="1"/>
  <c r="B5095" i="1"/>
  <c r="A5096" i="1"/>
  <c r="B5096" i="1"/>
  <c r="A5097" i="1"/>
  <c r="B5097" i="1"/>
  <c r="A5098" i="1"/>
  <c r="B5098" i="1"/>
  <c r="A5099" i="1"/>
  <c r="B5099" i="1"/>
  <c r="A5100" i="1"/>
  <c r="B5100" i="1"/>
  <c r="A5101" i="1"/>
  <c r="B5101" i="1"/>
  <c r="A5102" i="1"/>
  <c r="B5102" i="1"/>
  <c r="A5103" i="1"/>
  <c r="A5104" i="1"/>
  <c r="B5104" i="1"/>
  <c r="A5105" i="1"/>
  <c r="B5105" i="1"/>
  <c r="A5106" i="1"/>
  <c r="B5106" i="1"/>
  <c r="A5107" i="1"/>
  <c r="B5107" i="1"/>
  <c r="A5108" i="1"/>
  <c r="A5109" i="1"/>
  <c r="B5109" i="1"/>
  <c r="A5110" i="1"/>
  <c r="B5110" i="1"/>
  <c r="A5111" i="1"/>
  <c r="B5111" i="1"/>
  <c r="A5112" i="1"/>
  <c r="B5112" i="1"/>
  <c r="A5113" i="1"/>
  <c r="A5114" i="1"/>
  <c r="B5114" i="1"/>
  <c r="A5115" i="1"/>
  <c r="A5116" i="1"/>
  <c r="B5116" i="1"/>
  <c r="A5117" i="1"/>
  <c r="B5117" i="1"/>
  <c r="A5118" i="1"/>
  <c r="A5119" i="1"/>
  <c r="B5119" i="1"/>
  <c r="A5120" i="1"/>
  <c r="B5120" i="1"/>
  <c r="A5121" i="1"/>
  <c r="A5122" i="1"/>
  <c r="B5122" i="1"/>
  <c r="A5123" i="1"/>
  <c r="B5123" i="1"/>
  <c r="A5124" i="1"/>
  <c r="A5125" i="1"/>
  <c r="B5125" i="1"/>
  <c r="A5126" i="1"/>
  <c r="B5126" i="1"/>
  <c r="A5127" i="1"/>
  <c r="B5127" i="1"/>
  <c r="A5128" i="1"/>
  <c r="B5128" i="1"/>
  <c r="A5129" i="1"/>
  <c r="A5130" i="1"/>
  <c r="B5130" i="1"/>
  <c r="A5131" i="1"/>
  <c r="B5131" i="1"/>
  <c r="A5132" i="1"/>
  <c r="B5132" i="1"/>
  <c r="A5133" i="1"/>
  <c r="A5134" i="1"/>
  <c r="B5134" i="1"/>
  <c r="A5135" i="1"/>
  <c r="B5135" i="1"/>
  <c r="A5136" i="1"/>
  <c r="B5136" i="1"/>
  <c r="A5137" i="1"/>
  <c r="B5137" i="1"/>
  <c r="A5138" i="1"/>
  <c r="B5138" i="1"/>
  <c r="A5139" i="1"/>
  <c r="B5139" i="1"/>
  <c r="A5140" i="1"/>
  <c r="B5140" i="1"/>
  <c r="A5141" i="1"/>
  <c r="B5141" i="1"/>
  <c r="A5142" i="1"/>
  <c r="B5142" i="1"/>
  <c r="A5143" i="1"/>
  <c r="B5143" i="1"/>
  <c r="A5144" i="1"/>
  <c r="A5145" i="1"/>
  <c r="A5146" i="1"/>
  <c r="B5146" i="1"/>
  <c r="A5147" i="1"/>
  <c r="B5147" i="1"/>
  <c r="A5148" i="1"/>
  <c r="B5148" i="1"/>
  <c r="A5149" i="1"/>
  <c r="A5150" i="1"/>
  <c r="A5151" i="1"/>
  <c r="B5151" i="1"/>
  <c r="A5152" i="1"/>
  <c r="B5152" i="1"/>
  <c r="A5153" i="1"/>
  <c r="B5153" i="1"/>
  <c r="A5154" i="1"/>
  <c r="A5155" i="1"/>
  <c r="B5155" i="1"/>
  <c r="A5156" i="1"/>
  <c r="B5156" i="1"/>
  <c r="A5157" i="1"/>
  <c r="B5157" i="1"/>
  <c r="A5158" i="1"/>
  <c r="B5158" i="1"/>
  <c r="A5159" i="1"/>
  <c r="B5159" i="1"/>
  <c r="A5160" i="1"/>
  <c r="B5160" i="1"/>
  <c r="A5161" i="1"/>
  <c r="A5162" i="1"/>
  <c r="B5162" i="1"/>
  <c r="A5163" i="1"/>
  <c r="B5163" i="1"/>
  <c r="A5164" i="1"/>
  <c r="A5165" i="1"/>
  <c r="A5166" i="1"/>
  <c r="B5166" i="1"/>
  <c r="A5167" i="1"/>
  <c r="B5167" i="1"/>
  <c r="A5168" i="1"/>
  <c r="B5168" i="1"/>
  <c r="A5169" i="1"/>
  <c r="B5169" i="1"/>
  <c r="A5170" i="1"/>
  <c r="B5170" i="1"/>
  <c r="A5171" i="1"/>
  <c r="B5171" i="1"/>
  <c r="A5172" i="1"/>
  <c r="B5172" i="1"/>
  <c r="A5173" i="1"/>
  <c r="B5173" i="1"/>
  <c r="A5174" i="1"/>
  <c r="B5174" i="1"/>
  <c r="A5175" i="1"/>
  <c r="B5175" i="1"/>
  <c r="A5176" i="1"/>
  <c r="B5176" i="1"/>
  <c r="A5177" i="1"/>
  <c r="B5177" i="1"/>
  <c r="A5178" i="1"/>
  <c r="A5179" i="1"/>
  <c r="B5179" i="1"/>
  <c r="A5180" i="1"/>
  <c r="A5181" i="1"/>
  <c r="B5181" i="1"/>
  <c r="A5182" i="1"/>
  <c r="B5182" i="1"/>
  <c r="A5183" i="1"/>
  <c r="B5183" i="1"/>
  <c r="A5184" i="1"/>
  <c r="B5184" i="1"/>
  <c r="A5185" i="1"/>
  <c r="B5185" i="1"/>
  <c r="A5186" i="1"/>
  <c r="B5186" i="1"/>
  <c r="A5187" i="1"/>
  <c r="A5188" i="1"/>
  <c r="A5189" i="1"/>
  <c r="A5190" i="1"/>
  <c r="B5190" i="1"/>
  <c r="A5191" i="1"/>
  <c r="B5191" i="1"/>
  <c r="A5192" i="1"/>
  <c r="B5192" i="1"/>
  <c r="A5193" i="1"/>
  <c r="B5193" i="1"/>
  <c r="A5194" i="1"/>
  <c r="B5194" i="1"/>
  <c r="A5195" i="1"/>
  <c r="A5196" i="1"/>
  <c r="B5196" i="1"/>
  <c r="A5197" i="1"/>
  <c r="B5197" i="1"/>
  <c r="A5198" i="1"/>
  <c r="B5198" i="1"/>
  <c r="A5199" i="1"/>
  <c r="B5199" i="1"/>
  <c r="A5200" i="1"/>
  <c r="B5200" i="1"/>
  <c r="A5201" i="1"/>
  <c r="B5201" i="1"/>
  <c r="A5202" i="1"/>
  <c r="A5203" i="1"/>
  <c r="B5203" i="1"/>
  <c r="A5204" i="1"/>
  <c r="B5204" i="1"/>
  <c r="A5205" i="1"/>
  <c r="B5205" i="1"/>
  <c r="A5206" i="1"/>
  <c r="B5206" i="1"/>
  <c r="A5207" i="1"/>
  <c r="A5208" i="1"/>
  <c r="A5209" i="1"/>
  <c r="B5209" i="1"/>
  <c r="A5210" i="1"/>
  <c r="B5210" i="1"/>
  <c r="A5211" i="1"/>
  <c r="B5211" i="1"/>
  <c r="A5212" i="1"/>
  <c r="B5212" i="1"/>
  <c r="A5213" i="1"/>
  <c r="A5214" i="1"/>
  <c r="B5214" i="1"/>
  <c r="A5215" i="1"/>
  <c r="B5215" i="1"/>
  <c r="A5216" i="1"/>
  <c r="B5216" i="1"/>
  <c r="A5217" i="1"/>
  <c r="B5217" i="1"/>
  <c r="A5218" i="1"/>
  <c r="B5218" i="1"/>
  <c r="A5219" i="1"/>
  <c r="B5219" i="1"/>
  <c r="A5220" i="1"/>
  <c r="B5220" i="1"/>
  <c r="A5221" i="1"/>
  <c r="B5221" i="1"/>
  <c r="A5222" i="1"/>
  <c r="B5222" i="1"/>
  <c r="A5223" i="1"/>
  <c r="B5223" i="1"/>
  <c r="A5224" i="1"/>
  <c r="B5224" i="1"/>
  <c r="A5225" i="1"/>
  <c r="A5226" i="1"/>
  <c r="B5226" i="1"/>
  <c r="A5227" i="1"/>
  <c r="B5227" i="1"/>
  <c r="A5228" i="1"/>
  <c r="B5228" i="1"/>
  <c r="A5229" i="1"/>
  <c r="B5229" i="1"/>
  <c r="A5230" i="1"/>
  <c r="B5230" i="1"/>
  <c r="A5231" i="1"/>
  <c r="A5232" i="1"/>
  <c r="B5232" i="1"/>
  <c r="A5233" i="1"/>
  <c r="B5233" i="1"/>
  <c r="A5234" i="1"/>
  <c r="B5234" i="1"/>
  <c r="A5235" i="1"/>
  <c r="B5235" i="1"/>
  <c r="A5236" i="1"/>
  <c r="B5236" i="1"/>
  <c r="A5237" i="1"/>
  <c r="B5237" i="1"/>
  <c r="A5238" i="1"/>
  <c r="B5238" i="1"/>
  <c r="A5239" i="1"/>
  <c r="B5239" i="1"/>
  <c r="A5240" i="1"/>
  <c r="B5240" i="1"/>
  <c r="A5241" i="1"/>
  <c r="B5241" i="1"/>
  <c r="A5242" i="1"/>
  <c r="B5242" i="1"/>
  <c r="A5243" i="1"/>
  <c r="B5243" i="1"/>
  <c r="A5244" i="1"/>
  <c r="B5244" i="1"/>
  <c r="A5245" i="1"/>
  <c r="B5245" i="1"/>
  <c r="A5246" i="1"/>
  <c r="B5246" i="1"/>
  <c r="A5247" i="1"/>
  <c r="B5247" i="1"/>
  <c r="A5248" i="1"/>
  <c r="B5248" i="1"/>
  <c r="A5249" i="1"/>
  <c r="A5250" i="1"/>
  <c r="B5250" i="1"/>
  <c r="A5251" i="1"/>
  <c r="A5252" i="1"/>
  <c r="A5253" i="1"/>
  <c r="B5253" i="1"/>
  <c r="A5254" i="1"/>
  <c r="B5254" i="1"/>
  <c r="A5255" i="1"/>
  <c r="B5255" i="1"/>
  <c r="A5256" i="1"/>
  <c r="B5256" i="1"/>
  <c r="A5257" i="1"/>
  <c r="B5257" i="1"/>
  <c r="A5258" i="1"/>
  <c r="B5258" i="1"/>
  <c r="A5259" i="1"/>
  <c r="B5259" i="1"/>
  <c r="A5260" i="1"/>
  <c r="B5260" i="1"/>
  <c r="A5261" i="1"/>
  <c r="B5261" i="1"/>
  <c r="A5262" i="1"/>
  <c r="B5262" i="1"/>
  <c r="A5263" i="1"/>
  <c r="B5263" i="1"/>
  <c r="A5264" i="1"/>
  <c r="B5264" i="1"/>
  <c r="A5265" i="1"/>
  <c r="B5265" i="1"/>
  <c r="A5266" i="1"/>
  <c r="B5266" i="1"/>
  <c r="A5267" i="1"/>
  <c r="B5267" i="1"/>
  <c r="A5268" i="1"/>
  <c r="B5268" i="1"/>
  <c r="A5269" i="1"/>
  <c r="B5269" i="1"/>
  <c r="A5270" i="1"/>
  <c r="B5270" i="1"/>
  <c r="A5271" i="1"/>
  <c r="B5271" i="1"/>
  <c r="A5272" i="1"/>
  <c r="B5272" i="1"/>
  <c r="A5273" i="1"/>
  <c r="B5273" i="1"/>
  <c r="A5274" i="1"/>
  <c r="B5274" i="1"/>
  <c r="A5275" i="1"/>
  <c r="B5275" i="1"/>
  <c r="A5276" i="1"/>
  <c r="B5276" i="1"/>
  <c r="A5277" i="1"/>
  <c r="A5278" i="1"/>
  <c r="B5278" i="1"/>
  <c r="A5279" i="1"/>
  <c r="B5279" i="1"/>
  <c r="A5280" i="1"/>
  <c r="B5280" i="1"/>
  <c r="A5281" i="1"/>
  <c r="B5281" i="1"/>
  <c r="A5282" i="1"/>
  <c r="B5282" i="1"/>
  <c r="A5283" i="1"/>
  <c r="B5283" i="1"/>
  <c r="A5284" i="1"/>
  <c r="A5285" i="1"/>
  <c r="B5285" i="1"/>
  <c r="A5286" i="1"/>
  <c r="A5287" i="1"/>
  <c r="B5287" i="1"/>
  <c r="A5288" i="1"/>
  <c r="B5288" i="1"/>
  <c r="A5289" i="1"/>
  <c r="B5289" i="1"/>
  <c r="A5290" i="1"/>
  <c r="B5290" i="1"/>
  <c r="A5291" i="1"/>
  <c r="B5291" i="1"/>
  <c r="A5292" i="1"/>
  <c r="B5292" i="1"/>
  <c r="A5293" i="1"/>
  <c r="B5293" i="1"/>
  <c r="A5294" i="1"/>
  <c r="B5294" i="1"/>
  <c r="A5295" i="1"/>
  <c r="B5295" i="1"/>
  <c r="A5296" i="1"/>
  <c r="B5296" i="1"/>
  <c r="A5297" i="1"/>
  <c r="A5298" i="1"/>
  <c r="B5298" i="1"/>
  <c r="A5299" i="1"/>
  <c r="B5299" i="1"/>
  <c r="A5300" i="1"/>
  <c r="B5300" i="1"/>
  <c r="A5301" i="1"/>
  <c r="B5301" i="1"/>
  <c r="A5302" i="1"/>
  <c r="B5302" i="1"/>
  <c r="A5303" i="1"/>
  <c r="B5303" i="1"/>
  <c r="A5304" i="1"/>
  <c r="B5304" i="1"/>
  <c r="A5305" i="1"/>
  <c r="B5305" i="1"/>
  <c r="A5306" i="1"/>
  <c r="A5307" i="1"/>
  <c r="B5307" i="1"/>
  <c r="A5308" i="1"/>
  <c r="B5308" i="1"/>
  <c r="A5309" i="1"/>
  <c r="B5309" i="1"/>
  <c r="A5310" i="1"/>
  <c r="B5310" i="1"/>
  <c r="A5311" i="1"/>
  <c r="A5312" i="1"/>
  <c r="A5313" i="1"/>
  <c r="A5314" i="1"/>
  <c r="B5314" i="1"/>
  <c r="A5315" i="1"/>
  <c r="B5315" i="1"/>
  <c r="A5316" i="1"/>
  <c r="A5317" i="1"/>
  <c r="B5317" i="1"/>
  <c r="A5318" i="1"/>
  <c r="B5318" i="1"/>
  <c r="A5319" i="1"/>
  <c r="B5319" i="1"/>
  <c r="A5320" i="1"/>
  <c r="B5320" i="1"/>
  <c r="A5321" i="1"/>
  <c r="B5321" i="1"/>
  <c r="A5322" i="1"/>
  <c r="A5323" i="1"/>
  <c r="A5324" i="1"/>
  <c r="B5324" i="1"/>
  <c r="A5325" i="1"/>
  <c r="B5325" i="1"/>
  <c r="A5326" i="1"/>
  <c r="B5326" i="1"/>
  <c r="A5327" i="1"/>
  <c r="B5327" i="1"/>
  <c r="A5328" i="1"/>
  <c r="B5328" i="1"/>
  <c r="A5329" i="1"/>
  <c r="A5330" i="1"/>
  <c r="A5331" i="1"/>
  <c r="B5331" i="1"/>
  <c r="A5332" i="1"/>
  <c r="B5332" i="1"/>
  <c r="A5333" i="1"/>
  <c r="B5333" i="1"/>
  <c r="A5334" i="1"/>
  <c r="B5334" i="1"/>
  <c r="A5335" i="1"/>
  <c r="B5335" i="1"/>
  <c r="A5336" i="1"/>
  <c r="B5336" i="1"/>
  <c r="A5337" i="1"/>
  <c r="B5337" i="1"/>
  <c r="A5338" i="1"/>
  <c r="A5339" i="1"/>
  <c r="A5340" i="1"/>
  <c r="A5341" i="1"/>
  <c r="B5341" i="1"/>
  <c r="A5342" i="1"/>
  <c r="B5342" i="1"/>
  <c r="A5343" i="1"/>
  <c r="B5343" i="1"/>
  <c r="A5344" i="1"/>
  <c r="B5344" i="1"/>
  <c r="A5345" i="1"/>
  <c r="B5345" i="1"/>
  <c r="A5346" i="1"/>
  <c r="B5346" i="1"/>
  <c r="A5347" i="1"/>
  <c r="A5348" i="1"/>
  <c r="B5348" i="1"/>
  <c r="A5349" i="1"/>
  <c r="B5349" i="1"/>
  <c r="A5350" i="1"/>
  <c r="A5351" i="1"/>
  <c r="B5351" i="1"/>
  <c r="A5352" i="1"/>
  <c r="B5352" i="1"/>
  <c r="A5353" i="1"/>
  <c r="B5353" i="1"/>
  <c r="A5354" i="1"/>
  <c r="B5354" i="1"/>
  <c r="A5355" i="1"/>
  <c r="B5355" i="1"/>
  <c r="A5356" i="1"/>
  <c r="B5356" i="1"/>
  <c r="A5357" i="1"/>
  <c r="B5357" i="1"/>
  <c r="A5358" i="1"/>
  <c r="B5358" i="1"/>
  <c r="A5359" i="1"/>
  <c r="B5359" i="1"/>
  <c r="A5360" i="1"/>
  <c r="A5361" i="1"/>
  <c r="B5361" i="1"/>
  <c r="A5362" i="1"/>
  <c r="B5362" i="1"/>
  <c r="A5363" i="1"/>
  <c r="B5363" i="1"/>
  <c r="A5364" i="1"/>
  <c r="B5364" i="1"/>
  <c r="A5365" i="1"/>
  <c r="B5365" i="1"/>
  <c r="A5366" i="1"/>
  <c r="B5366" i="1"/>
  <c r="A5367" i="1"/>
  <c r="B5367" i="1"/>
  <c r="A5368" i="1"/>
  <c r="B5368" i="1"/>
  <c r="A5369" i="1"/>
  <c r="A5370" i="1"/>
  <c r="B5370" i="1"/>
  <c r="A5371" i="1"/>
  <c r="B5371" i="1"/>
  <c r="A5372" i="1"/>
  <c r="B5372" i="1"/>
  <c r="A5373" i="1"/>
  <c r="A5374" i="1"/>
  <c r="B5374" i="1"/>
  <c r="A5375" i="1"/>
  <c r="B5375" i="1"/>
  <c r="A5376" i="1"/>
  <c r="B5376" i="1"/>
  <c r="A5377" i="1"/>
  <c r="B5377" i="1"/>
  <c r="A5378" i="1"/>
  <c r="B5378" i="1"/>
  <c r="A5379" i="1"/>
  <c r="B5379" i="1"/>
  <c r="A5380" i="1"/>
  <c r="B5380" i="1"/>
  <c r="A5381" i="1"/>
  <c r="B5381" i="1"/>
  <c r="A5382" i="1"/>
  <c r="A5383" i="1"/>
  <c r="B5383" i="1"/>
  <c r="A5384" i="1"/>
  <c r="B5384" i="1"/>
  <c r="A5385" i="1"/>
  <c r="B5385" i="1"/>
  <c r="A5386" i="1"/>
  <c r="B5386" i="1"/>
  <c r="A5387" i="1"/>
  <c r="B5387" i="1"/>
  <c r="A5388" i="1"/>
  <c r="B5388" i="1"/>
  <c r="A5389" i="1"/>
  <c r="B5389" i="1"/>
  <c r="A5390" i="1"/>
  <c r="B5390" i="1"/>
  <c r="A5391" i="1"/>
  <c r="B5391" i="1"/>
  <c r="A5392" i="1"/>
  <c r="B5392" i="1"/>
  <c r="A5393" i="1"/>
  <c r="B5393" i="1"/>
  <c r="A5394" i="1"/>
  <c r="B5394" i="1"/>
  <c r="A5395" i="1"/>
  <c r="B5395" i="1"/>
  <c r="A5396" i="1"/>
  <c r="B5396" i="1"/>
  <c r="A5397" i="1"/>
  <c r="B5397" i="1"/>
  <c r="A5398" i="1"/>
  <c r="B5398" i="1"/>
  <c r="A5399" i="1"/>
  <c r="B5399" i="1"/>
  <c r="A5400" i="1"/>
  <c r="B5400" i="1"/>
  <c r="A5401" i="1"/>
  <c r="B5401" i="1"/>
  <c r="A5402" i="1"/>
  <c r="B5402" i="1"/>
  <c r="A5403" i="1"/>
  <c r="B5403" i="1"/>
  <c r="A5404" i="1"/>
  <c r="B5404" i="1"/>
  <c r="A5405" i="1"/>
  <c r="B5405" i="1"/>
  <c r="A5406" i="1"/>
  <c r="B5406" i="1"/>
  <c r="A5407" i="1"/>
  <c r="B5407" i="1"/>
  <c r="A5408" i="1"/>
  <c r="B5408" i="1"/>
  <c r="A5409" i="1"/>
  <c r="B5409" i="1"/>
  <c r="A5410" i="1"/>
  <c r="A5411" i="1"/>
  <c r="A5412" i="1"/>
  <c r="A5413" i="1"/>
  <c r="A5414" i="1"/>
  <c r="A5415" i="1"/>
  <c r="A5416" i="1"/>
  <c r="A5417" i="1"/>
  <c r="A5418" i="1"/>
  <c r="B5418" i="1"/>
  <c r="A5419" i="1"/>
  <c r="A5420" i="1"/>
  <c r="A5421" i="1"/>
  <c r="A5422" i="1"/>
  <c r="A5423" i="1"/>
  <c r="A5424" i="1"/>
  <c r="B5424" i="1"/>
  <c r="A5425" i="1"/>
  <c r="B5425" i="1"/>
  <c r="A5426" i="1"/>
  <c r="B5426" i="1"/>
  <c r="A5427" i="1"/>
  <c r="A5428" i="1"/>
  <c r="B5428" i="1"/>
  <c r="A5429" i="1"/>
  <c r="B5429" i="1"/>
  <c r="A5430" i="1"/>
  <c r="B5430" i="1"/>
  <c r="A5431" i="1"/>
  <c r="A5432" i="1"/>
  <c r="B5432" i="1"/>
  <c r="A5433" i="1"/>
  <c r="A5434" i="1"/>
  <c r="B5434" i="1"/>
  <c r="A5435" i="1"/>
  <c r="A5436" i="1"/>
  <c r="B5436" i="1"/>
  <c r="A5437" i="1"/>
  <c r="B5437" i="1"/>
  <c r="A5438" i="1"/>
  <c r="A5439" i="1"/>
  <c r="B5439" i="1"/>
  <c r="A5440" i="1"/>
  <c r="B5440" i="1"/>
  <c r="A5441" i="1"/>
  <c r="B5441" i="1"/>
  <c r="A5442" i="1"/>
  <c r="B5442" i="1"/>
  <c r="A5443" i="1"/>
  <c r="B5443" i="1"/>
  <c r="A5444" i="1"/>
  <c r="B5444" i="1"/>
  <c r="A5445" i="1"/>
  <c r="B5445" i="1"/>
  <c r="A5446" i="1"/>
  <c r="B5446" i="1"/>
  <c r="A5447" i="1"/>
  <c r="B5447" i="1"/>
  <c r="A5448" i="1"/>
  <c r="B5448" i="1"/>
  <c r="A5449" i="1"/>
  <c r="B5449" i="1"/>
  <c r="A5450" i="1"/>
  <c r="B5450" i="1"/>
  <c r="A5451" i="1"/>
  <c r="B5451" i="1"/>
  <c r="A5452" i="1"/>
  <c r="B5452" i="1"/>
  <c r="A5453" i="1"/>
  <c r="B5453" i="1"/>
  <c r="A5454" i="1"/>
  <c r="B5454" i="1"/>
  <c r="A5455" i="1"/>
  <c r="B5455" i="1"/>
  <c r="A5456" i="1"/>
  <c r="B5456" i="1"/>
  <c r="A5457" i="1"/>
  <c r="B5457" i="1"/>
  <c r="A5458" i="1"/>
  <c r="B5458" i="1"/>
  <c r="A5459" i="1"/>
  <c r="B5459" i="1"/>
  <c r="A5460" i="1"/>
  <c r="B5460" i="1"/>
  <c r="A5461" i="1"/>
  <c r="B5461" i="1"/>
  <c r="A5462" i="1"/>
  <c r="B5462" i="1"/>
  <c r="A5463" i="1"/>
  <c r="B5463" i="1"/>
  <c r="A5464" i="1"/>
  <c r="B5464" i="1"/>
  <c r="A5465" i="1"/>
  <c r="B5465" i="1"/>
  <c r="A5466" i="1"/>
  <c r="B5466" i="1"/>
  <c r="A5467" i="1"/>
  <c r="B5467" i="1"/>
  <c r="A5468" i="1"/>
  <c r="B5468" i="1"/>
  <c r="A5469" i="1"/>
  <c r="B5469" i="1"/>
  <c r="A5470" i="1"/>
  <c r="B5470" i="1"/>
  <c r="A5471" i="1"/>
  <c r="B5471" i="1"/>
  <c r="A5472" i="1"/>
  <c r="B5472" i="1"/>
  <c r="A5473" i="1"/>
  <c r="B5473" i="1"/>
  <c r="A5474" i="1"/>
  <c r="A5475" i="1"/>
  <c r="B5475" i="1"/>
  <c r="A5476" i="1"/>
  <c r="B5476" i="1"/>
  <c r="A5477" i="1"/>
  <c r="A5478" i="1"/>
  <c r="B5478" i="1"/>
  <c r="A5479" i="1"/>
  <c r="B5479" i="1"/>
  <c r="A5480" i="1"/>
  <c r="A5481" i="1"/>
  <c r="B5481" i="1"/>
  <c r="A5482" i="1"/>
  <c r="B5482" i="1"/>
  <c r="A5483" i="1"/>
  <c r="B5483" i="1"/>
  <c r="A5484" i="1"/>
  <c r="B5484" i="1"/>
  <c r="A5485" i="1"/>
  <c r="B5485" i="1"/>
  <c r="A5486" i="1"/>
  <c r="B5486" i="1"/>
  <c r="A5487" i="1"/>
  <c r="B5487" i="1"/>
  <c r="A5488" i="1"/>
  <c r="A5489" i="1"/>
  <c r="B5489" i="1"/>
  <c r="A5490" i="1"/>
  <c r="B5490" i="1"/>
  <c r="A5491" i="1"/>
  <c r="B5491" i="1"/>
  <c r="A5492" i="1"/>
  <c r="B5492" i="1"/>
  <c r="A5493" i="1"/>
  <c r="B5493" i="1"/>
  <c r="A5494" i="1"/>
  <c r="B5494" i="1"/>
  <c r="A5495" i="1"/>
  <c r="B5495" i="1"/>
  <c r="A5496" i="1"/>
  <c r="B5496" i="1"/>
  <c r="A5497" i="1"/>
  <c r="B5497" i="1"/>
  <c r="A5498" i="1"/>
  <c r="A5499" i="1"/>
  <c r="B5499" i="1"/>
  <c r="A5500" i="1"/>
  <c r="B5500" i="1"/>
  <c r="A5501" i="1"/>
  <c r="A5502" i="1"/>
  <c r="A5503" i="1"/>
  <c r="B5503" i="1"/>
  <c r="A5504" i="1"/>
  <c r="B5504" i="1"/>
  <c r="A5505" i="1"/>
  <c r="B5505" i="1"/>
  <c r="A5506" i="1"/>
  <c r="B5506" i="1"/>
  <c r="A5507" i="1"/>
  <c r="B5507" i="1"/>
  <c r="A5508" i="1"/>
  <c r="A5509" i="1"/>
  <c r="B5509" i="1"/>
  <c r="A5510" i="1"/>
  <c r="B5510" i="1"/>
  <c r="A5511" i="1"/>
  <c r="B5511" i="1"/>
  <c r="A5512" i="1"/>
  <c r="B5512" i="1"/>
  <c r="A5513" i="1"/>
  <c r="B5513" i="1"/>
  <c r="A5514" i="1"/>
  <c r="B5514" i="1"/>
  <c r="A5515" i="1"/>
  <c r="B5515" i="1"/>
  <c r="A5516" i="1"/>
  <c r="B5516" i="1"/>
  <c r="A5517" i="1"/>
  <c r="B5517" i="1"/>
  <c r="A5518" i="1"/>
  <c r="A5519" i="1"/>
  <c r="B5519" i="1"/>
  <c r="A5520" i="1"/>
  <c r="B5520" i="1"/>
  <c r="A5521" i="1"/>
  <c r="B5521" i="1"/>
  <c r="A5522" i="1"/>
  <c r="B5522" i="1"/>
  <c r="A5523" i="1"/>
  <c r="B5523" i="1"/>
  <c r="A5524" i="1"/>
  <c r="B5524" i="1"/>
  <c r="A5525" i="1"/>
  <c r="B5525" i="1"/>
  <c r="A5526" i="1"/>
  <c r="B5526" i="1"/>
  <c r="A5527" i="1"/>
  <c r="B5527" i="1"/>
  <c r="A5528" i="1"/>
  <c r="B5528" i="1"/>
  <c r="A5529" i="1"/>
  <c r="B5529" i="1"/>
  <c r="A5530" i="1"/>
  <c r="B5530" i="1"/>
  <c r="A5531" i="1"/>
  <c r="B5531" i="1"/>
  <c r="A5532" i="1"/>
  <c r="B5532" i="1"/>
  <c r="A5533" i="1"/>
  <c r="B5533" i="1"/>
  <c r="A5534" i="1"/>
  <c r="B5534" i="1"/>
  <c r="A5535" i="1"/>
  <c r="B5535" i="1"/>
  <c r="A5536" i="1"/>
  <c r="B5536" i="1"/>
  <c r="A5537" i="1"/>
  <c r="A5538" i="1"/>
  <c r="B5538" i="1"/>
  <c r="A5539" i="1"/>
  <c r="B5539" i="1"/>
  <c r="A5540" i="1"/>
  <c r="B5540" i="1"/>
  <c r="A5541" i="1"/>
  <c r="B5541" i="1"/>
  <c r="A5542" i="1"/>
  <c r="A5543" i="1"/>
  <c r="A5544" i="1"/>
  <c r="B5544" i="1"/>
  <c r="A5545" i="1"/>
  <c r="B5545" i="1"/>
  <c r="A5546" i="1"/>
  <c r="B5546" i="1"/>
  <c r="A5547" i="1"/>
  <c r="B5547" i="1"/>
  <c r="A5548" i="1"/>
  <c r="B5548" i="1"/>
  <c r="A5549" i="1"/>
  <c r="B5549" i="1"/>
  <c r="A5550" i="1"/>
  <c r="B5550" i="1"/>
  <c r="A5551" i="1"/>
  <c r="B5551" i="1"/>
  <c r="A5552" i="1"/>
  <c r="B5552" i="1"/>
  <c r="A5553" i="1"/>
  <c r="B5553" i="1"/>
  <c r="A5554" i="1"/>
  <c r="B5554" i="1"/>
  <c r="A5555" i="1"/>
  <c r="B5555" i="1"/>
  <c r="A5556" i="1"/>
  <c r="B5556" i="1"/>
  <c r="A5557" i="1"/>
  <c r="B5557" i="1"/>
  <c r="A5558" i="1"/>
  <c r="B5558" i="1"/>
  <c r="A5559" i="1"/>
  <c r="B5559" i="1"/>
  <c r="A5560" i="1"/>
  <c r="B5560" i="1"/>
  <c r="A5561" i="1"/>
  <c r="B5561" i="1"/>
  <c r="A5562" i="1"/>
  <c r="B5562" i="1"/>
  <c r="A5563" i="1"/>
  <c r="B5563" i="1"/>
  <c r="A5564" i="1"/>
  <c r="B5564" i="1"/>
  <c r="A5565" i="1"/>
  <c r="B5565" i="1"/>
  <c r="A5566" i="1"/>
  <c r="B5566" i="1"/>
  <c r="A5567" i="1"/>
  <c r="B5567" i="1"/>
  <c r="A5568" i="1"/>
  <c r="B5568" i="1"/>
  <c r="A5569" i="1"/>
  <c r="B5569" i="1"/>
  <c r="A5570" i="1"/>
  <c r="B5570" i="1"/>
  <c r="A5571" i="1"/>
  <c r="A5572" i="1"/>
  <c r="B5572" i="1"/>
  <c r="A5573" i="1"/>
  <c r="B5573" i="1"/>
  <c r="A5574" i="1"/>
  <c r="B5574" i="1"/>
  <c r="A5575" i="1"/>
  <c r="B5575" i="1"/>
  <c r="A5576" i="1"/>
  <c r="B5576" i="1"/>
  <c r="A5577" i="1"/>
  <c r="B5577" i="1"/>
  <c r="A5578" i="1"/>
  <c r="B5578" i="1"/>
  <c r="A5579" i="1"/>
  <c r="B5579" i="1"/>
  <c r="A5580" i="1"/>
  <c r="B5580" i="1"/>
  <c r="A5581" i="1"/>
  <c r="B5581" i="1"/>
  <c r="A5582" i="1"/>
  <c r="B5582" i="1"/>
  <c r="A5583" i="1"/>
  <c r="B5583" i="1"/>
  <c r="A5584" i="1"/>
  <c r="A5585" i="1"/>
  <c r="B5585" i="1"/>
  <c r="A5586" i="1"/>
  <c r="B5586" i="1"/>
  <c r="A5587" i="1"/>
  <c r="B5587" i="1"/>
  <c r="A5588" i="1"/>
  <c r="B5588" i="1"/>
  <c r="A5589" i="1"/>
  <c r="B5589" i="1"/>
  <c r="A5590" i="1"/>
  <c r="B5590" i="1"/>
  <c r="A5591" i="1"/>
  <c r="B5591" i="1"/>
  <c r="A5592" i="1"/>
  <c r="B5592" i="1"/>
  <c r="A5593" i="1"/>
  <c r="A5594" i="1"/>
  <c r="B5594" i="1"/>
  <c r="A5595" i="1"/>
  <c r="B5595" i="1"/>
  <c r="A5596" i="1"/>
  <c r="B5596" i="1"/>
  <c r="A5597" i="1"/>
  <c r="B5597" i="1"/>
  <c r="A5598" i="1"/>
  <c r="B5598" i="1"/>
  <c r="A5599" i="1"/>
  <c r="B5599" i="1"/>
  <c r="A5600" i="1"/>
  <c r="B5600" i="1"/>
  <c r="A5601" i="1"/>
  <c r="B5601" i="1"/>
  <c r="A5602" i="1"/>
  <c r="B5602" i="1"/>
  <c r="A5603" i="1"/>
  <c r="B5603" i="1"/>
  <c r="A5604" i="1"/>
  <c r="B5604" i="1"/>
  <c r="A5605" i="1"/>
  <c r="B5605" i="1"/>
  <c r="A5606" i="1"/>
  <c r="B5606" i="1"/>
  <c r="A5607" i="1"/>
  <c r="B5607" i="1"/>
  <c r="A5608" i="1"/>
  <c r="B5608" i="1"/>
  <c r="A5609" i="1"/>
  <c r="B5609" i="1"/>
  <c r="A5610" i="1"/>
  <c r="B5610" i="1"/>
  <c r="A5611" i="1"/>
  <c r="B5611" i="1"/>
  <c r="A5612" i="1"/>
  <c r="B5612" i="1"/>
  <c r="A5613" i="1"/>
  <c r="B5613" i="1"/>
  <c r="A5614" i="1"/>
  <c r="B5614" i="1"/>
  <c r="A5615" i="1"/>
  <c r="B5615" i="1"/>
  <c r="A5616" i="1"/>
  <c r="B5616" i="1"/>
  <c r="A5617" i="1"/>
  <c r="B5617" i="1"/>
  <c r="A5618" i="1"/>
  <c r="B5618" i="1"/>
  <c r="A5619" i="1"/>
  <c r="B5619" i="1"/>
  <c r="A5620" i="1"/>
  <c r="B5620" i="1"/>
  <c r="A5621" i="1"/>
  <c r="B5621" i="1"/>
  <c r="A5622" i="1"/>
  <c r="B5622" i="1"/>
  <c r="A5623" i="1"/>
  <c r="B5623" i="1"/>
  <c r="A5624" i="1"/>
  <c r="B5624" i="1"/>
  <c r="A5625" i="1"/>
  <c r="B5625" i="1"/>
  <c r="A5626" i="1"/>
  <c r="B5626" i="1"/>
  <c r="A5627" i="1"/>
  <c r="B5627" i="1"/>
  <c r="A5628" i="1"/>
  <c r="A5629" i="1"/>
  <c r="A5630" i="1"/>
  <c r="B5630" i="1"/>
  <c r="A5631" i="1"/>
  <c r="B5631" i="1"/>
  <c r="A5632" i="1"/>
  <c r="A5633" i="1"/>
  <c r="B5633" i="1"/>
  <c r="A5634" i="1"/>
  <c r="A5635" i="1"/>
  <c r="B5635" i="1"/>
  <c r="A5636" i="1"/>
  <c r="B5636" i="1"/>
  <c r="A5637" i="1"/>
  <c r="B5637" i="1"/>
  <c r="A5638" i="1"/>
  <c r="A5639" i="1"/>
  <c r="B5639" i="1"/>
  <c r="A5640" i="1"/>
  <c r="B5640" i="1"/>
  <c r="A5641" i="1"/>
  <c r="B5641" i="1"/>
  <c r="A5642" i="1"/>
  <c r="B5642" i="1"/>
  <c r="A5643" i="1"/>
  <c r="B5643" i="1"/>
  <c r="A5644" i="1"/>
  <c r="B5644" i="1"/>
  <c r="A5645" i="1"/>
  <c r="B5645" i="1"/>
  <c r="A5646" i="1"/>
  <c r="B5646" i="1"/>
  <c r="A5647" i="1"/>
  <c r="B5647" i="1"/>
  <c r="A5648" i="1"/>
  <c r="B5648" i="1"/>
  <c r="A5649" i="1"/>
  <c r="B5649" i="1"/>
  <c r="A5650" i="1"/>
  <c r="A5651" i="1"/>
  <c r="B5651" i="1"/>
  <c r="A5652" i="1"/>
  <c r="B5652" i="1"/>
  <c r="A5653" i="1"/>
  <c r="B5653" i="1"/>
  <c r="A5654" i="1"/>
  <c r="B5654" i="1"/>
  <c r="A5655" i="1"/>
  <c r="B5655" i="1"/>
  <c r="A5656" i="1"/>
  <c r="B5656" i="1"/>
  <c r="A5657" i="1"/>
  <c r="B5657" i="1"/>
  <c r="A5658" i="1"/>
  <c r="B5658" i="1"/>
  <c r="A5659" i="1"/>
  <c r="B5659" i="1"/>
  <c r="A5660" i="1"/>
  <c r="B5660" i="1"/>
  <c r="A5661" i="1"/>
  <c r="B5661" i="1"/>
  <c r="A5662" i="1"/>
  <c r="B5662" i="1"/>
  <c r="A5663" i="1"/>
  <c r="A5664" i="1"/>
  <c r="B5664" i="1"/>
  <c r="A5665" i="1"/>
  <c r="B5665" i="1"/>
  <c r="A5666" i="1"/>
  <c r="A5667" i="1"/>
  <c r="B5667" i="1"/>
  <c r="A5668" i="1"/>
  <c r="A5669" i="1"/>
  <c r="B5669" i="1"/>
  <c r="A5670" i="1"/>
  <c r="B5670" i="1"/>
  <c r="A5671" i="1"/>
  <c r="B5671" i="1"/>
  <c r="A5672" i="1"/>
  <c r="B5672" i="1"/>
  <c r="A5673" i="1"/>
  <c r="B5673" i="1"/>
  <c r="A5674" i="1"/>
  <c r="B5674" i="1"/>
  <c r="A5675" i="1"/>
  <c r="B5675" i="1"/>
  <c r="A5676" i="1"/>
  <c r="B5676" i="1"/>
  <c r="A5677" i="1"/>
  <c r="B5677" i="1"/>
  <c r="A5678" i="1"/>
  <c r="B5678" i="1"/>
  <c r="A5679" i="1"/>
  <c r="A5680" i="1"/>
  <c r="B5680" i="1"/>
  <c r="A5681" i="1"/>
  <c r="B5681" i="1"/>
  <c r="A5682" i="1"/>
  <c r="B5682" i="1"/>
  <c r="A5683" i="1"/>
  <c r="B5683" i="1"/>
  <c r="A5684" i="1"/>
  <c r="B5684" i="1"/>
  <c r="A5685" i="1"/>
  <c r="B5685" i="1"/>
  <c r="A5686" i="1"/>
  <c r="B5686" i="1"/>
  <c r="A5687" i="1"/>
  <c r="B5687" i="1"/>
  <c r="A5688" i="1"/>
  <c r="B5688" i="1"/>
  <c r="A5689" i="1"/>
  <c r="B5689" i="1"/>
  <c r="A5690" i="1"/>
  <c r="B5690" i="1"/>
  <c r="A5691" i="1"/>
  <c r="B5691" i="1"/>
  <c r="A5692" i="1"/>
  <c r="B5692" i="1"/>
  <c r="A5693" i="1"/>
  <c r="B5693" i="1"/>
  <c r="A5694" i="1"/>
  <c r="B5694" i="1"/>
  <c r="A5695" i="1"/>
  <c r="A5696" i="1"/>
  <c r="A5697" i="1"/>
  <c r="A5698" i="1"/>
  <c r="A5699" i="1"/>
  <c r="B5699" i="1"/>
  <c r="A5700" i="1"/>
  <c r="B5700" i="1"/>
  <c r="A5701" i="1"/>
  <c r="B5701" i="1"/>
  <c r="A5702" i="1"/>
  <c r="A5703" i="1"/>
  <c r="B5703" i="1"/>
  <c r="A5704" i="1"/>
  <c r="A5705" i="1"/>
  <c r="B5705" i="1"/>
  <c r="A5706" i="1"/>
  <c r="B5706" i="1"/>
  <c r="A5707" i="1"/>
  <c r="B5707" i="1"/>
  <c r="A5708" i="1"/>
  <c r="A5709" i="1"/>
  <c r="A5710" i="1"/>
  <c r="B5710" i="1"/>
  <c r="A5711" i="1"/>
  <c r="A5712" i="1"/>
  <c r="B5712" i="1"/>
  <c r="A5713" i="1"/>
  <c r="A5714" i="1"/>
  <c r="B5714" i="1"/>
  <c r="A5715" i="1"/>
  <c r="B5715" i="1"/>
  <c r="A5716" i="1"/>
  <c r="A5717" i="1"/>
  <c r="B5717" i="1"/>
  <c r="A5718" i="1"/>
  <c r="B5718" i="1"/>
  <c r="A5719" i="1"/>
  <c r="B5719" i="1"/>
  <c r="A5720" i="1"/>
  <c r="B5720" i="1"/>
  <c r="A5721" i="1"/>
  <c r="B5721" i="1"/>
  <c r="A5722" i="1"/>
  <c r="B5722" i="1"/>
  <c r="A5723" i="1"/>
  <c r="B5723" i="1"/>
  <c r="A5724" i="1"/>
  <c r="B5724" i="1"/>
  <c r="A5725" i="1"/>
  <c r="B5725" i="1"/>
  <c r="A5726" i="1"/>
  <c r="B5726" i="1"/>
  <c r="A5727" i="1"/>
  <c r="B5727" i="1"/>
  <c r="A5728" i="1"/>
  <c r="A5729" i="1"/>
  <c r="B5729" i="1"/>
  <c r="A5730" i="1"/>
  <c r="B5730" i="1"/>
  <c r="A5731" i="1"/>
  <c r="A5732" i="1"/>
  <c r="B5732" i="1"/>
  <c r="A5733" i="1"/>
  <c r="B5733" i="1"/>
  <c r="A5734" i="1"/>
  <c r="B5734" i="1"/>
  <c r="A5735" i="1"/>
  <c r="A5736" i="1"/>
  <c r="B5736" i="1"/>
  <c r="A5737" i="1"/>
  <c r="B5737" i="1"/>
  <c r="A5738" i="1"/>
  <c r="B5738" i="1"/>
  <c r="A5739" i="1"/>
  <c r="B5739" i="1"/>
  <c r="A5740" i="1"/>
  <c r="B5740" i="1"/>
  <c r="A5741" i="1"/>
  <c r="B5741" i="1"/>
  <c r="A5742" i="1"/>
  <c r="B5742" i="1"/>
  <c r="A5743" i="1"/>
  <c r="B5743" i="1"/>
  <c r="A5744" i="1"/>
  <c r="A5745" i="1"/>
  <c r="B5745" i="1"/>
  <c r="A5746" i="1"/>
  <c r="A5747" i="1"/>
  <c r="B5747" i="1"/>
  <c r="A5748" i="1"/>
  <c r="A5749" i="1"/>
  <c r="B5749" i="1"/>
  <c r="A5750" i="1"/>
  <c r="B5750" i="1"/>
  <c r="A5751" i="1"/>
  <c r="B5751" i="1"/>
  <c r="A5752" i="1"/>
  <c r="B5752" i="1"/>
  <c r="A5753" i="1"/>
  <c r="B5753" i="1"/>
  <c r="A5754" i="1"/>
  <c r="B5754" i="1"/>
  <c r="A5755" i="1"/>
  <c r="B5755" i="1"/>
  <c r="A5756" i="1"/>
  <c r="B5756" i="1"/>
  <c r="A5757" i="1"/>
  <c r="B5757" i="1"/>
  <c r="A5758" i="1"/>
  <c r="B5758" i="1"/>
  <c r="A5759" i="1"/>
  <c r="B5759" i="1"/>
  <c r="A5760" i="1"/>
  <c r="A5761" i="1"/>
  <c r="B5761" i="1"/>
  <c r="A5762" i="1"/>
  <c r="A5763" i="1"/>
  <c r="B5763" i="1"/>
  <c r="A5764" i="1"/>
  <c r="B5764" i="1"/>
  <c r="A5765" i="1"/>
  <c r="B5765" i="1"/>
  <c r="A5766" i="1"/>
  <c r="B5766" i="1"/>
  <c r="A5767" i="1"/>
  <c r="A5768" i="1"/>
  <c r="B5768" i="1"/>
  <c r="A5769" i="1"/>
  <c r="B5769" i="1"/>
  <c r="A5770" i="1"/>
  <c r="B5770" i="1"/>
  <c r="A5771" i="1"/>
  <c r="B5771" i="1"/>
  <c r="A5772" i="1"/>
  <c r="B5772" i="1"/>
  <c r="A5773" i="1"/>
  <c r="B5773" i="1"/>
  <c r="A5774" i="1"/>
  <c r="B5774" i="1"/>
  <c r="A5775" i="1"/>
  <c r="B5775" i="1"/>
  <c r="A5776" i="1"/>
  <c r="B5776" i="1"/>
  <c r="A5777" i="1"/>
  <c r="A5778" i="1"/>
  <c r="A5779" i="1"/>
  <c r="A5780" i="1"/>
  <c r="A5781" i="1"/>
  <c r="A5782" i="1"/>
  <c r="B5782" i="1"/>
  <c r="A5783" i="1"/>
  <c r="B5783" i="1"/>
  <c r="A5784" i="1"/>
  <c r="B5784" i="1"/>
  <c r="A5785" i="1"/>
  <c r="B5785" i="1"/>
  <c r="A5786" i="1"/>
  <c r="B5786" i="1"/>
  <c r="A5787" i="1"/>
  <c r="A5788" i="1"/>
  <c r="B5788" i="1"/>
  <c r="A5789" i="1"/>
  <c r="A5790" i="1"/>
  <c r="A5791" i="1"/>
  <c r="A5792" i="1"/>
  <c r="A5793" i="1"/>
  <c r="B5793" i="1"/>
  <c r="A5794" i="1"/>
  <c r="B5794" i="1"/>
  <c r="A5795" i="1"/>
  <c r="B5795" i="1"/>
  <c r="A5796" i="1"/>
  <c r="B5796" i="1"/>
  <c r="A5797" i="1"/>
  <c r="B5797" i="1"/>
  <c r="A5798" i="1"/>
  <c r="B5798" i="1"/>
  <c r="A5799" i="1"/>
  <c r="B5799" i="1"/>
  <c r="A5800" i="1"/>
  <c r="A5801" i="1"/>
  <c r="B5801" i="1"/>
  <c r="A5802" i="1"/>
  <c r="A5803" i="1"/>
  <c r="B5803" i="1"/>
  <c r="A5804" i="1"/>
  <c r="B5804" i="1"/>
  <c r="A5805" i="1"/>
  <c r="B5805" i="1"/>
  <c r="A5806" i="1"/>
  <c r="A5807" i="1"/>
  <c r="A5808" i="1"/>
  <c r="B5808" i="1"/>
  <c r="A5809" i="1"/>
  <c r="B5809" i="1"/>
  <c r="A5810" i="1"/>
  <c r="B5810" i="1"/>
  <c r="A5811" i="1"/>
  <c r="A5812" i="1"/>
  <c r="A5813" i="1"/>
  <c r="B5813" i="1"/>
  <c r="A5814" i="1"/>
  <c r="B5814" i="1"/>
  <c r="A5815" i="1"/>
  <c r="B5815" i="1"/>
  <c r="A5816" i="1"/>
  <c r="B5816" i="1"/>
  <c r="A5817" i="1"/>
  <c r="B5817" i="1"/>
  <c r="A5818" i="1"/>
  <c r="B5818" i="1"/>
  <c r="A5819" i="1"/>
  <c r="B5819" i="1"/>
  <c r="A5820" i="1"/>
  <c r="B5820" i="1"/>
  <c r="A5821" i="1"/>
  <c r="B5821" i="1"/>
  <c r="A5822" i="1"/>
  <c r="A5823" i="1"/>
  <c r="B5823" i="1"/>
  <c r="A5824" i="1"/>
  <c r="B5824" i="1"/>
  <c r="A5825" i="1"/>
  <c r="B5825" i="1"/>
  <c r="A5826" i="1"/>
  <c r="B5826" i="1"/>
  <c r="A5827" i="1"/>
  <c r="B5827" i="1"/>
  <c r="A5828" i="1"/>
  <c r="B5828" i="1"/>
  <c r="A5829" i="1"/>
  <c r="B5829" i="1"/>
  <c r="A5830" i="1"/>
  <c r="A5831" i="1"/>
  <c r="A5832" i="1"/>
  <c r="B5832" i="1"/>
  <c r="A5833" i="1"/>
  <c r="B5833" i="1"/>
  <c r="A5834" i="1"/>
  <c r="B5834" i="1"/>
  <c r="A5835" i="1"/>
  <c r="B5835" i="1"/>
  <c r="A5836" i="1"/>
  <c r="B5836" i="1"/>
  <c r="A5837" i="1"/>
  <c r="B5837" i="1"/>
  <c r="A5838" i="1"/>
  <c r="B5838" i="1"/>
  <c r="A5839" i="1"/>
  <c r="A5840" i="1"/>
  <c r="B5840" i="1"/>
  <c r="A5841" i="1"/>
  <c r="B5841" i="1"/>
  <c r="A5842" i="1"/>
  <c r="B5842" i="1"/>
  <c r="A5843" i="1"/>
  <c r="B5843" i="1"/>
  <c r="A5844" i="1"/>
  <c r="B5844" i="1"/>
  <c r="A5845" i="1"/>
  <c r="B5845" i="1"/>
  <c r="A5846" i="1"/>
  <c r="B5846" i="1"/>
  <c r="A5847" i="1"/>
  <c r="B5847" i="1"/>
  <c r="A5848" i="1"/>
  <c r="B5848" i="1"/>
  <c r="A5849" i="1"/>
  <c r="B5849" i="1"/>
  <c r="A5850" i="1"/>
  <c r="B5850" i="1"/>
  <c r="A5851" i="1"/>
  <c r="A5852" i="1"/>
  <c r="A5853" i="1"/>
  <c r="A5854" i="1"/>
  <c r="B5854" i="1"/>
  <c r="A5855" i="1"/>
  <c r="B5855" i="1"/>
  <c r="A5856" i="1"/>
  <c r="B5856" i="1"/>
  <c r="A5857" i="1"/>
  <c r="A5858" i="1"/>
  <c r="B5858" i="1"/>
  <c r="A5859" i="1"/>
  <c r="B5859" i="1"/>
  <c r="A5860" i="1"/>
  <c r="B5860" i="1"/>
  <c r="A5861" i="1"/>
  <c r="B5861" i="1"/>
  <c r="A5862" i="1"/>
  <c r="B5862" i="1"/>
  <c r="A5863" i="1"/>
  <c r="A5864" i="1"/>
  <c r="B5864" i="1"/>
  <c r="A5865" i="1"/>
  <c r="B5865" i="1"/>
  <c r="A5866" i="1"/>
  <c r="A5867" i="1"/>
  <c r="B5867" i="1"/>
  <c r="A5868" i="1"/>
  <c r="B5868" i="1"/>
  <c r="A5869" i="1"/>
  <c r="A5870" i="1"/>
  <c r="B5870" i="1"/>
  <c r="A5871" i="1"/>
  <c r="B5871" i="1"/>
  <c r="A5872" i="1"/>
  <c r="B5872" i="1"/>
  <c r="A5873" i="1"/>
  <c r="B5873" i="1"/>
  <c r="A5874" i="1"/>
  <c r="B5874" i="1"/>
  <c r="A5875" i="1"/>
  <c r="A5876" i="1"/>
  <c r="A5877" i="1"/>
  <c r="A5878" i="1"/>
  <c r="A5879" i="1"/>
  <c r="A5880" i="1"/>
  <c r="A5881" i="1"/>
  <c r="B5881" i="1"/>
  <c r="A5882" i="1"/>
  <c r="B5882" i="1"/>
  <c r="A5883" i="1"/>
  <c r="B5883" i="1"/>
  <c r="A5884" i="1"/>
  <c r="B5884" i="1"/>
  <c r="A5885" i="1"/>
  <c r="A5886" i="1"/>
  <c r="B5886" i="1"/>
  <c r="A5887" i="1"/>
  <c r="A5888" i="1"/>
  <c r="B5888" i="1"/>
  <c r="A5889" i="1"/>
  <c r="B5889" i="1"/>
  <c r="A5890" i="1"/>
  <c r="B5890" i="1"/>
  <c r="A5891" i="1"/>
  <c r="B5891" i="1"/>
  <c r="A5892" i="1"/>
  <c r="A5893" i="1"/>
  <c r="B5893" i="1"/>
  <c r="A5894" i="1"/>
  <c r="B5894" i="1"/>
  <c r="A5895" i="1"/>
  <c r="B5895" i="1"/>
  <c r="A5896" i="1"/>
  <c r="B5896" i="1"/>
  <c r="A5897" i="1"/>
  <c r="A5898" i="1"/>
  <c r="B5898" i="1"/>
  <c r="A5899" i="1"/>
  <c r="B5899" i="1"/>
  <c r="A5900" i="1"/>
  <c r="B5900" i="1"/>
  <c r="A5901" i="1"/>
  <c r="B5901" i="1"/>
  <c r="A5902" i="1"/>
  <c r="B5902" i="1"/>
  <c r="A5903" i="1"/>
  <c r="B5903" i="1"/>
  <c r="A5904" i="1"/>
  <c r="B5904" i="1"/>
  <c r="A5905" i="1"/>
  <c r="B5905" i="1"/>
  <c r="A5906" i="1"/>
  <c r="B5906" i="1"/>
  <c r="A5907" i="1"/>
  <c r="A5908" i="1"/>
  <c r="B5908" i="1"/>
  <c r="A5909" i="1"/>
  <c r="B5909" i="1"/>
  <c r="A5910" i="1"/>
  <c r="B5910" i="1"/>
  <c r="A5911" i="1"/>
  <c r="B5911" i="1"/>
  <c r="A5912" i="1"/>
  <c r="B5912" i="1"/>
  <c r="A5913" i="1"/>
  <c r="B5913" i="1"/>
  <c r="A5914" i="1"/>
  <c r="A5915" i="1"/>
  <c r="A5916" i="1"/>
  <c r="B5916" i="1"/>
  <c r="A5917" i="1"/>
  <c r="B5917" i="1"/>
  <c r="A5918" i="1"/>
  <c r="B5918" i="1"/>
  <c r="A5919" i="1"/>
  <c r="A5920" i="1"/>
  <c r="B5920" i="1"/>
  <c r="A5921" i="1"/>
  <c r="B5921" i="1"/>
  <c r="A5922" i="1"/>
  <c r="B5922" i="1"/>
  <c r="A5923" i="1"/>
  <c r="B5923" i="1"/>
  <c r="A5924" i="1"/>
  <c r="B5924" i="1"/>
  <c r="A5925" i="1"/>
  <c r="B5925" i="1"/>
  <c r="A5926" i="1"/>
  <c r="B5926" i="1"/>
  <c r="A5927" i="1"/>
  <c r="B5927" i="1"/>
  <c r="A5928" i="1"/>
  <c r="B5928" i="1"/>
  <c r="A5929" i="1"/>
  <c r="A5930" i="1"/>
  <c r="B5930" i="1"/>
  <c r="A5931" i="1"/>
  <c r="B5931" i="1"/>
  <c r="A5932" i="1"/>
  <c r="B5932" i="1"/>
  <c r="A5933" i="1"/>
  <c r="B5933" i="1"/>
  <c r="A5934" i="1"/>
  <c r="B5934" i="1"/>
  <c r="A5935" i="1"/>
  <c r="B5935" i="1"/>
  <c r="A5936" i="1"/>
  <c r="B5936" i="1"/>
  <c r="A5937" i="1"/>
  <c r="B5937" i="1"/>
  <c r="A5938" i="1"/>
  <c r="B5938" i="1"/>
  <c r="A5939" i="1"/>
  <c r="B5939" i="1"/>
  <c r="A5940" i="1"/>
  <c r="A5941" i="1"/>
  <c r="A5942" i="1"/>
  <c r="B5942" i="1"/>
  <c r="A5943" i="1"/>
  <c r="B5943" i="1"/>
  <c r="A5944" i="1"/>
  <c r="A5945" i="1"/>
  <c r="B5945" i="1"/>
  <c r="A5946" i="1"/>
  <c r="B5946" i="1"/>
  <c r="A5947" i="1"/>
  <c r="A5948" i="1"/>
  <c r="A5949" i="1"/>
  <c r="B5949" i="1"/>
  <c r="A5950" i="1"/>
  <c r="B5950" i="1"/>
  <c r="A5951" i="1"/>
  <c r="B5951" i="1"/>
  <c r="A5952" i="1"/>
  <c r="B5952" i="1"/>
  <c r="A5953" i="1"/>
  <c r="B5953" i="1"/>
  <c r="A5954" i="1"/>
  <c r="B5954" i="1"/>
  <c r="A5955" i="1"/>
  <c r="B5955" i="1"/>
  <c r="A5956" i="1"/>
  <c r="B5956" i="1"/>
  <c r="A5957" i="1"/>
  <c r="B5957" i="1"/>
  <c r="A5958" i="1"/>
  <c r="A5959" i="1"/>
  <c r="B5959" i="1"/>
  <c r="A5960" i="1"/>
  <c r="A5961" i="1"/>
  <c r="B5961" i="1"/>
  <c r="A5962" i="1"/>
  <c r="A5963" i="1"/>
  <c r="B5963" i="1"/>
  <c r="A5964" i="1"/>
  <c r="B5964" i="1"/>
  <c r="A5965" i="1"/>
  <c r="B5965" i="1"/>
  <c r="A5966" i="1"/>
  <c r="B5966" i="1"/>
  <c r="A5967" i="1"/>
  <c r="B5967" i="1"/>
  <c r="A5968" i="1"/>
  <c r="B5968" i="1"/>
  <c r="A5969" i="1"/>
  <c r="B5969" i="1"/>
  <c r="A5970" i="1"/>
  <c r="B5970" i="1"/>
  <c r="A5971" i="1"/>
  <c r="A5972" i="1"/>
  <c r="A5973" i="1"/>
  <c r="A5974" i="1"/>
  <c r="A5975" i="1"/>
  <c r="B5975" i="1"/>
  <c r="A5976" i="1"/>
  <c r="B5976" i="1"/>
  <c r="A5977" i="1"/>
  <c r="B5977" i="1"/>
  <c r="A5978" i="1"/>
  <c r="A5979" i="1"/>
  <c r="B5979" i="1"/>
  <c r="A5980" i="1"/>
  <c r="B5980" i="1"/>
  <c r="A5981" i="1"/>
  <c r="B5981" i="1"/>
  <c r="A5982" i="1"/>
  <c r="B5982" i="1"/>
  <c r="A5983" i="1"/>
  <c r="B5983" i="1"/>
  <c r="A5984" i="1"/>
  <c r="A5985" i="1"/>
  <c r="A5986" i="1"/>
  <c r="B5986" i="1"/>
  <c r="A5987" i="1"/>
  <c r="A5988" i="1"/>
  <c r="A5989" i="1"/>
  <c r="B5989" i="1"/>
  <c r="A5990" i="1"/>
  <c r="B5990" i="1"/>
  <c r="A5991" i="1"/>
  <c r="B5991" i="1"/>
  <c r="A5992" i="1"/>
  <c r="B5992" i="1"/>
  <c r="A5993" i="1"/>
  <c r="B5993" i="1"/>
  <c r="A5994" i="1"/>
  <c r="B5994" i="1"/>
  <c r="A5995" i="1"/>
  <c r="B5995" i="1"/>
  <c r="A5996" i="1"/>
  <c r="B5996" i="1"/>
  <c r="A5997" i="1"/>
  <c r="B5997" i="1"/>
  <c r="A5998" i="1"/>
  <c r="B5998" i="1"/>
  <c r="A5999" i="1"/>
  <c r="B5999" i="1"/>
  <c r="A6000" i="1"/>
  <c r="B6000" i="1"/>
  <c r="A6001" i="1"/>
  <c r="B6001" i="1"/>
  <c r="A6002" i="1"/>
  <c r="B6002" i="1"/>
  <c r="A6003" i="1"/>
  <c r="A6004" i="1"/>
  <c r="A6005" i="1"/>
  <c r="B6005" i="1"/>
  <c r="A6006" i="1"/>
  <c r="B6006" i="1"/>
  <c r="A6007" i="1"/>
  <c r="B6007" i="1"/>
  <c r="A6008" i="1"/>
  <c r="B6008" i="1"/>
  <c r="A6009" i="1"/>
  <c r="A6010" i="1"/>
  <c r="B6010" i="1"/>
  <c r="A6011" i="1"/>
  <c r="A6012" i="1"/>
  <c r="A6013" i="1"/>
  <c r="B6013" i="1"/>
  <c r="A6014" i="1"/>
  <c r="B6014" i="1"/>
  <c r="A6015" i="1"/>
  <c r="B6015" i="1"/>
  <c r="A6016" i="1"/>
  <c r="B6016" i="1"/>
  <c r="A6017" i="1"/>
  <c r="B6017" i="1"/>
  <c r="A6018" i="1"/>
  <c r="A6019" i="1"/>
  <c r="B6019" i="1"/>
  <c r="A6020" i="1"/>
  <c r="A6021" i="1"/>
  <c r="B6021" i="1"/>
  <c r="A6022" i="1"/>
  <c r="A6023" i="1"/>
  <c r="A6024" i="1"/>
  <c r="A6025" i="1"/>
  <c r="A6026" i="1"/>
  <c r="A6027" i="1"/>
  <c r="A6028" i="1"/>
  <c r="A6029" i="1"/>
  <c r="A6030" i="1"/>
  <c r="A6031" i="1"/>
  <c r="B6031" i="1"/>
  <c r="A6032" i="1"/>
  <c r="B6032" i="1"/>
  <c r="A6033" i="1"/>
  <c r="A6034" i="1"/>
  <c r="B6034" i="1"/>
  <c r="A6035" i="1"/>
  <c r="B6035" i="1"/>
  <c r="A6036" i="1"/>
  <c r="B6036" i="1"/>
  <c r="A6037" i="1"/>
  <c r="B6037" i="1"/>
  <c r="A6038" i="1"/>
  <c r="B6038" i="1"/>
  <c r="A6039" i="1"/>
  <c r="A6040" i="1"/>
  <c r="B6040" i="1"/>
  <c r="A6041" i="1"/>
  <c r="B6041" i="1"/>
  <c r="A6042" i="1"/>
  <c r="B6042" i="1"/>
  <c r="A6043" i="1"/>
  <c r="B6043" i="1"/>
  <c r="A6044" i="1"/>
  <c r="B6044" i="1"/>
  <c r="A6045" i="1"/>
  <c r="B6045" i="1"/>
  <c r="A6046" i="1"/>
  <c r="B6046" i="1"/>
  <c r="A6047" i="1"/>
  <c r="B6047" i="1"/>
  <c r="A6048" i="1"/>
  <c r="B6048" i="1"/>
  <c r="A6049" i="1"/>
  <c r="B6049" i="1"/>
  <c r="A6050" i="1"/>
  <c r="B6050" i="1"/>
  <c r="A6051" i="1"/>
  <c r="B6051" i="1"/>
  <c r="A6052" i="1"/>
  <c r="B6052" i="1"/>
  <c r="A6053" i="1"/>
  <c r="B6053" i="1"/>
  <c r="A6054" i="1"/>
  <c r="B6054" i="1"/>
  <c r="A6055" i="1"/>
  <c r="B6055" i="1"/>
  <c r="A6056" i="1"/>
  <c r="A6057" i="1"/>
  <c r="A6058" i="1"/>
  <c r="A6059" i="1"/>
  <c r="B6059" i="1"/>
  <c r="A6060" i="1"/>
  <c r="B6060" i="1"/>
  <c r="A6061" i="1"/>
  <c r="B6061" i="1"/>
  <c r="A6062" i="1"/>
  <c r="A6063" i="1"/>
  <c r="A6064" i="1"/>
  <c r="B6064" i="1"/>
  <c r="A6065" i="1"/>
  <c r="B6065" i="1"/>
  <c r="A6066" i="1"/>
  <c r="B6066" i="1"/>
  <c r="A6067" i="1"/>
  <c r="B6067" i="1"/>
  <c r="A6068" i="1"/>
  <c r="B6068" i="1"/>
  <c r="A6069" i="1"/>
  <c r="B6069" i="1"/>
  <c r="A6070" i="1"/>
  <c r="B6070" i="1"/>
  <c r="A6071" i="1"/>
  <c r="B6071" i="1"/>
  <c r="A6072" i="1"/>
  <c r="A6073" i="1"/>
  <c r="B6073" i="1"/>
  <c r="A6074" i="1"/>
  <c r="A6075" i="1"/>
  <c r="B6075" i="1"/>
  <c r="A6076" i="1"/>
  <c r="A6077" i="1"/>
  <c r="A6078" i="1"/>
  <c r="A6079" i="1"/>
  <c r="A6080" i="1"/>
  <c r="A6081" i="1"/>
  <c r="A6082" i="1"/>
  <c r="A6083" i="1"/>
  <c r="B6083" i="1"/>
  <c r="A6084" i="1"/>
  <c r="A6085" i="1"/>
  <c r="B6085" i="1"/>
  <c r="A6086" i="1"/>
  <c r="A6087" i="1"/>
  <c r="B6087" i="1"/>
  <c r="A6088" i="1"/>
  <c r="B6088" i="1"/>
  <c r="A6089" i="1"/>
  <c r="A6090" i="1"/>
  <c r="B6090" i="1"/>
  <c r="A6091" i="1"/>
  <c r="B6091" i="1"/>
  <c r="A6092" i="1"/>
  <c r="B6092" i="1"/>
  <c r="A6093" i="1"/>
  <c r="B6093" i="1"/>
  <c r="A6094" i="1"/>
  <c r="B6094" i="1"/>
  <c r="A6095" i="1"/>
  <c r="B6095" i="1"/>
  <c r="A6096" i="1"/>
  <c r="B6096" i="1"/>
  <c r="A6097" i="1"/>
  <c r="A6098" i="1"/>
  <c r="A6099" i="1"/>
  <c r="B6099" i="1"/>
  <c r="A6100" i="1"/>
  <c r="B6100" i="1"/>
  <c r="A6101" i="1"/>
  <c r="A6102" i="1"/>
  <c r="B6102" i="1"/>
  <c r="A6103" i="1"/>
  <c r="B6103" i="1"/>
  <c r="A6104" i="1"/>
  <c r="B6104" i="1"/>
  <c r="A6105" i="1"/>
  <c r="B6105" i="1"/>
  <c r="A6106" i="1"/>
  <c r="B6106" i="1"/>
  <c r="A6107" i="1"/>
  <c r="B6107" i="1"/>
  <c r="A6108" i="1"/>
  <c r="B6108" i="1"/>
  <c r="A6109" i="1"/>
  <c r="A6110" i="1"/>
  <c r="B6110" i="1"/>
  <c r="A6111" i="1"/>
  <c r="B6111" i="1"/>
  <c r="A6112" i="1"/>
  <c r="A6113" i="1"/>
  <c r="A6114" i="1"/>
  <c r="A6115" i="1"/>
  <c r="B6115" i="1"/>
  <c r="A6116" i="1"/>
  <c r="B6116" i="1"/>
  <c r="A6117" i="1"/>
  <c r="B6117" i="1"/>
  <c r="A6118" i="1"/>
  <c r="B6118" i="1"/>
  <c r="A6119" i="1"/>
  <c r="A6120" i="1"/>
  <c r="A6121" i="1"/>
  <c r="B6121" i="1"/>
  <c r="A6122" i="1"/>
  <c r="B6122" i="1"/>
  <c r="A6123" i="1"/>
  <c r="B6123" i="1"/>
  <c r="A6124" i="1"/>
  <c r="B6124" i="1"/>
  <c r="A6125" i="1"/>
  <c r="B6125" i="1"/>
  <c r="A6126" i="1"/>
  <c r="A6127" i="1"/>
  <c r="B6127" i="1"/>
  <c r="A6128" i="1"/>
  <c r="B6128" i="1"/>
  <c r="A6129" i="1"/>
  <c r="B6129" i="1"/>
  <c r="A6130" i="1"/>
  <c r="B6130" i="1"/>
  <c r="A6131" i="1"/>
  <c r="A6132" i="1"/>
  <c r="B6132" i="1"/>
  <c r="A6133" i="1"/>
  <c r="A6134" i="1"/>
  <c r="B6134" i="1"/>
  <c r="A6135" i="1"/>
  <c r="B6135" i="1"/>
  <c r="A6136" i="1"/>
  <c r="B6136" i="1"/>
  <c r="A6137" i="1"/>
  <c r="A6138" i="1"/>
  <c r="B6138" i="1"/>
  <c r="A6139" i="1"/>
  <c r="B6139" i="1"/>
  <c r="A6140" i="1"/>
  <c r="B6140" i="1"/>
  <c r="A6141" i="1"/>
  <c r="B6141" i="1"/>
  <c r="A6142" i="1"/>
  <c r="B6142" i="1"/>
  <c r="A6143" i="1"/>
  <c r="B6143" i="1"/>
  <c r="A6144" i="1"/>
  <c r="B6144" i="1"/>
  <c r="A6145" i="1"/>
  <c r="B6145" i="1"/>
  <c r="A6146" i="1"/>
  <c r="A6147" i="1"/>
  <c r="A6148" i="1"/>
  <c r="A6149" i="1"/>
  <c r="A6150" i="1"/>
  <c r="B6150" i="1"/>
  <c r="A6151" i="1"/>
  <c r="A6152" i="1"/>
  <c r="B6152" i="1"/>
  <c r="A6153" i="1"/>
  <c r="B6153" i="1"/>
  <c r="A6154" i="1"/>
  <c r="B6154" i="1"/>
  <c r="A6155" i="1"/>
  <c r="B6155" i="1"/>
  <c r="A6156" i="1"/>
  <c r="A6157" i="1"/>
  <c r="B6157" i="1"/>
  <c r="A6158" i="1"/>
  <c r="B6158" i="1"/>
  <c r="A6159" i="1"/>
  <c r="B6159" i="1"/>
  <c r="A6160" i="1"/>
  <c r="B6160" i="1"/>
  <c r="A6161" i="1"/>
  <c r="A6162" i="1"/>
  <c r="A6163" i="1"/>
  <c r="A6164" i="1"/>
  <c r="A6165" i="1"/>
  <c r="A6166" i="1"/>
  <c r="B6166" i="1"/>
  <c r="A6167" i="1"/>
  <c r="B6167" i="1"/>
  <c r="A6168" i="1"/>
  <c r="B6168" i="1"/>
  <c r="A6169" i="1"/>
  <c r="B6169" i="1"/>
  <c r="A6170" i="1"/>
  <c r="A6171" i="1"/>
  <c r="B6171" i="1"/>
  <c r="A6172" i="1"/>
  <c r="B6172" i="1"/>
  <c r="A6173" i="1"/>
  <c r="B6173" i="1"/>
  <c r="A6174" i="1"/>
  <c r="B6174" i="1"/>
  <c r="A6175" i="1"/>
  <c r="B6175" i="1"/>
  <c r="A6176" i="1"/>
  <c r="B6176" i="1"/>
  <c r="A6177" i="1"/>
  <c r="A6178" i="1"/>
  <c r="B6178" i="1"/>
  <c r="A6179" i="1"/>
  <c r="B6179" i="1"/>
  <c r="A6180" i="1"/>
  <c r="B6180" i="1"/>
  <c r="A6181" i="1"/>
  <c r="B6181" i="1"/>
  <c r="A6182" i="1"/>
  <c r="B6182" i="1"/>
  <c r="A6183" i="1"/>
  <c r="B6183" i="1"/>
  <c r="A6184" i="1"/>
  <c r="B6184" i="1"/>
  <c r="A6185" i="1"/>
  <c r="B6185" i="1"/>
  <c r="A6186" i="1"/>
  <c r="B6186" i="1"/>
  <c r="A6187" i="1"/>
  <c r="B6187" i="1"/>
  <c r="A6188" i="1"/>
  <c r="B6188" i="1"/>
  <c r="A6189" i="1"/>
  <c r="B6189" i="1"/>
  <c r="A6190" i="1"/>
  <c r="B6190" i="1"/>
  <c r="A6191" i="1"/>
  <c r="A6192" i="1"/>
  <c r="B6192" i="1"/>
  <c r="A6193" i="1"/>
  <c r="B6193" i="1"/>
  <c r="A6194" i="1"/>
  <c r="A6195" i="1"/>
  <c r="B6195" i="1"/>
  <c r="A6196" i="1"/>
  <c r="B6196" i="1"/>
  <c r="A6197" i="1"/>
  <c r="B6197" i="1"/>
  <c r="A6198" i="1"/>
  <c r="A6199" i="1"/>
  <c r="B6199" i="1"/>
  <c r="A6200" i="1"/>
  <c r="A6201" i="1"/>
  <c r="B6201" i="1"/>
  <c r="A6202" i="1"/>
  <c r="A6203" i="1"/>
  <c r="A6204" i="1"/>
  <c r="B6204" i="1"/>
  <c r="A6205" i="1"/>
  <c r="B6205" i="1"/>
  <c r="A6206" i="1"/>
  <c r="B6206" i="1"/>
  <c r="A6207" i="1"/>
  <c r="B6207" i="1"/>
  <c r="A6208" i="1"/>
  <c r="B6208" i="1"/>
  <c r="A6209" i="1"/>
  <c r="A6210" i="1"/>
  <c r="B6210" i="1"/>
  <c r="A6211" i="1"/>
  <c r="B6211" i="1"/>
  <c r="A6212" i="1"/>
  <c r="B6212" i="1"/>
  <c r="A6213" i="1"/>
  <c r="B6213" i="1"/>
  <c r="A6214" i="1"/>
  <c r="B6214" i="1"/>
  <c r="A6215" i="1"/>
  <c r="B6215" i="1"/>
  <c r="A6216" i="1"/>
  <c r="B6216" i="1"/>
  <c r="A6217" i="1"/>
  <c r="B6217" i="1"/>
  <c r="A6218" i="1"/>
  <c r="B6218" i="1"/>
  <c r="A6219" i="1"/>
  <c r="A6220" i="1"/>
  <c r="B6220" i="1"/>
  <c r="A6221" i="1"/>
  <c r="B6221" i="1"/>
  <c r="A6222" i="1"/>
  <c r="B6222" i="1"/>
  <c r="A6223" i="1"/>
  <c r="B6223" i="1"/>
  <c r="A6224" i="1"/>
  <c r="A6225" i="1"/>
  <c r="B6225" i="1"/>
  <c r="A6226" i="1"/>
  <c r="B6226" i="1"/>
  <c r="A6227" i="1"/>
  <c r="B6227" i="1"/>
  <c r="A6228" i="1"/>
  <c r="B6228" i="1"/>
  <c r="A6229" i="1"/>
  <c r="B6229" i="1"/>
  <c r="A6230" i="1"/>
  <c r="B6230" i="1"/>
  <c r="A6231" i="1"/>
  <c r="A6232" i="1"/>
  <c r="B6232" i="1"/>
  <c r="A6233" i="1"/>
  <c r="B6233" i="1"/>
  <c r="A6234" i="1"/>
  <c r="B6234" i="1"/>
  <c r="A6235" i="1"/>
  <c r="B6235" i="1"/>
  <c r="A6236" i="1"/>
  <c r="B6236" i="1"/>
  <c r="A6237" i="1"/>
  <c r="B6237" i="1"/>
  <c r="A6238" i="1"/>
  <c r="B6238" i="1"/>
  <c r="A6239" i="1"/>
  <c r="B6239" i="1"/>
  <c r="A6240" i="1"/>
  <c r="B6240" i="1"/>
  <c r="A6241" i="1"/>
  <c r="B6241" i="1"/>
  <c r="A6242" i="1"/>
  <c r="B6242" i="1"/>
  <c r="A6243" i="1"/>
  <c r="B6243" i="1"/>
  <c r="A6244" i="1"/>
  <c r="B6244" i="1"/>
  <c r="A6245" i="1"/>
  <c r="B6245" i="1"/>
  <c r="A6246" i="1"/>
  <c r="B6246" i="1"/>
  <c r="A6247" i="1"/>
  <c r="B6247" i="1"/>
  <c r="A6248" i="1"/>
  <c r="B6248" i="1"/>
  <c r="A6249" i="1"/>
  <c r="A6250" i="1"/>
  <c r="B6250" i="1"/>
  <c r="A6251" i="1"/>
  <c r="A6252" i="1"/>
  <c r="B6252" i="1"/>
  <c r="A6253" i="1"/>
  <c r="B6253" i="1"/>
  <c r="A6254" i="1"/>
  <c r="B6254" i="1"/>
  <c r="A6255" i="1"/>
  <c r="B6255" i="1"/>
  <c r="A6256" i="1"/>
  <c r="B6256" i="1"/>
  <c r="A6257" i="1"/>
  <c r="B6257" i="1"/>
  <c r="A6258" i="1"/>
  <c r="B6258" i="1"/>
  <c r="A6259" i="1"/>
  <c r="B6259" i="1"/>
  <c r="A6260" i="1"/>
  <c r="B6260" i="1"/>
  <c r="A6261" i="1"/>
  <c r="B6261" i="1"/>
  <c r="A6262" i="1"/>
  <c r="A6263" i="1"/>
  <c r="B6263" i="1"/>
  <c r="A6264" i="1"/>
  <c r="B6264" i="1"/>
  <c r="A6265" i="1"/>
  <c r="A6266" i="1"/>
  <c r="A6267" i="1"/>
  <c r="A6268" i="1"/>
  <c r="A6269" i="1"/>
  <c r="B6269" i="1"/>
  <c r="A6270" i="1"/>
  <c r="B6270" i="1"/>
  <c r="A6271" i="1"/>
  <c r="A6272" i="1"/>
  <c r="B6272" i="1"/>
  <c r="A6273" i="1"/>
  <c r="B6273" i="1"/>
  <c r="A6274" i="1"/>
  <c r="B6274" i="1"/>
  <c r="A6275" i="1"/>
  <c r="B6275" i="1"/>
  <c r="A6276" i="1"/>
  <c r="B6276" i="1"/>
  <c r="A6277" i="1"/>
  <c r="B6277" i="1"/>
  <c r="A6278" i="1"/>
  <c r="B6278" i="1"/>
  <c r="A6279" i="1"/>
  <c r="B6279" i="1"/>
  <c r="A6280" i="1"/>
  <c r="B6280" i="1"/>
  <c r="A6281" i="1"/>
  <c r="B6281" i="1"/>
  <c r="A6282" i="1"/>
  <c r="B6282" i="1"/>
  <c r="A6283" i="1"/>
  <c r="B6283" i="1"/>
  <c r="A6284" i="1"/>
  <c r="B6284" i="1"/>
  <c r="A6285" i="1"/>
  <c r="B6285" i="1"/>
  <c r="A6286" i="1"/>
  <c r="B6286" i="1"/>
  <c r="A6287" i="1"/>
  <c r="B6287" i="1"/>
  <c r="A6288" i="1"/>
  <c r="A6289" i="1"/>
  <c r="B6289" i="1"/>
  <c r="A6290" i="1"/>
  <c r="B6290" i="1"/>
  <c r="A6291" i="1"/>
  <c r="B6291" i="1"/>
  <c r="A6292" i="1"/>
  <c r="B6292" i="1"/>
  <c r="A6293" i="1"/>
  <c r="B6293" i="1"/>
  <c r="A6294" i="1"/>
  <c r="B6294" i="1"/>
  <c r="A6295" i="1"/>
  <c r="B6295" i="1"/>
  <c r="A6296" i="1"/>
  <c r="B6296" i="1"/>
  <c r="A6297" i="1"/>
  <c r="B6297" i="1"/>
  <c r="A6298" i="1"/>
  <c r="B6298" i="1"/>
  <c r="A6299" i="1"/>
  <c r="B6299" i="1"/>
  <c r="A6300" i="1"/>
  <c r="A6301" i="1"/>
  <c r="B6301" i="1"/>
  <c r="A6302" i="1"/>
  <c r="A6303" i="1"/>
  <c r="B6303" i="1"/>
  <c r="A6304" i="1"/>
  <c r="B6304" i="1"/>
  <c r="A6305" i="1"/>
  <c r="B6305" i="1"/>
  <c r="A6306" i="1"/>
  <c r="A6307" i="1"/>
  <c r="B6307" i="1"/>
  <c r="A6308" i="1"/>
  <c r="B6308" i="1"/>
  <c r="A6309" i="1"/>
  <c r="B6309" i="1"/>
  <c r="A6310" i="1"/>
  <c r="B6310" i="1"/>
  <c r="A6311" i="1"/>
  <c r="B6311" i="1"/>
  <c r="A6312" i="1"/>
  <c r="B6312" i="1"/>
  <c r="A6313" i="1"/>
  <c r="B6313" i="1"/>
  <c r="A6314" i="1"/>
  <c r="B6314" i="1"/>
  <c r="A6315" i="1"/>
  <c r="B6315" i="1"/>
  <c r="A6316" i="1"/>
  <c r="B6316" i="1"/>
  <c r="A6317" i="1"/>
  <c r="B6317" i="1"/>
  <c r="A6318" i="1"/>
  <c r="B6318" i="1"/>
  <c r="A6319" i="1"/>
  <c r="B6319" i="1"/>
  <c r="A6320" i="1"/>
  <c r="A6321" i="1"/>
  <c r="A6322" i="1"/>
  <c r="A6323" i="1"/>
  <c r="B6323" i="1"/>
  <c r="A6324" i="1"/>
  <c r="B6324" i="1"/>
  <c r="A6325" i="1"/>
  <c r="B6325" i="1"/>
  <c r="A6326" i="1"/>
  <c r="B6326" i="1"/>
  <c r="A6327" i="1"/>
  <c r="B6327" i="1"/>
  <c r="A6328" i="1"/>
  <c r="A6329" i="1"/>
  <c r="B6329" i="1"/>
  <c r="A6330" i="1"/>
  <c r="B6330" i="1"/>
  <c r="A6331" i="1"/>
  <c r="B6331" i="1"/>
  <c r="A6332" i="1"/>
  <c r="A6333" i="1"/>
  <c r="B6333" i="1"/>
  <c r="A6334" i="1"/>
  <c r="B6334" i="1"/>
  <c r="A6335" i="1"/>
  <c r="B6335" i="1"/>
  <c r="A6336" i="1"/>
  <c r="B6336" i="1"/>
  <c r="A6337" i="1"/>
  <c r="B6337" i="1"/>
  <c r="A6338" i="1"/>
  <c r="B6338" i="1"/>
  <c r="A6339" i="1"/>
  <c r="B6339" i="1"/>
  <c r="A6340" i="1"/>
  <c r="A6341" i="1"/>
  <c r="B6341" i="1"/>
  <c r="A6342" i="1"/>
  <c r="B6342" i="1"/>
  <c r="A6343" i="1"/>
  <c r="B6343" i="1"/>
  <c r="A6344" i="1"/>
  <c r="B6344" i="1"/>
  <c r="A6345" i="1"/>
  <c r="B6345" i="1"/>
  <c r="A6346" i="1"/>
  <c r="B6346" i="1"/>
  <c r="A6347" i="1"/>
  <c r="B6347" i="1"/>
  <c r="A6348" i="1"/>
  <c r="B6348" i="1"/>
  <c r="A6349" i="1"/>
  <c r="B6349" i="1"/>
  <c r="A6350" i="1"/>
  <c r="B6350" i="1"/>
  <c r="A6351" i="1"/>
  <c r="B6351" i="1"/>
  <c r="A6352" i="1"/>
  <c r="B6352" i="1"/>
  <c r="A6353" i="1"/>
  <c r="B6353" i="1"/>
  <c r="A6354" i="1"/>
  <c r="B6354" i="1"/>
  <c r="A6355" i="1"/>
  <c r="B6355" i="1"/>
  <c r="A6356" i="1"/>
  <c r="B6356" i="1"/>
  <c r="A6357" i="1"/>
  <c r="B6357" i="1"/>
  <c r="A6358" i="1"/>
  <c r="B6358" i="1"/>
  <c r="A6359" i="1"/>
  <c r="B6359" i="1"/>
  <c r="A6360" i="1"/>
  <c r="B6360" i="1"/>
  <c r="A6361" i="1"/>
  <c r="A6362" i="1"/>
  <c r="B6362" i="1"/>
  <c r="A6363" i="1"/>
  <c r="A6364" i="1"/>
  <c r="B6364" i="1"/>
  <c r="A6365" i="1"/>
  <c r="B6365" i="1"/>
  <c r="A6366" i="1"/>
  <c r="B6366" i="1"/>
  <c r="A6367" i="1"/>
  <c r="A6368" i="1"/>
  <c r="B6368" i="1"/>
  <c r="A6369" i="1"/>
  <c r="A6370" i="1"/>
  <c r="B6370" i="1"/>
  <c r="A6371" i="1"/>
  <c r="B6371" i="1"/>
  <c r="A6372" i="1"/>
  <c r="B6372" i="1"/>
  <c r="A6373" i="1"/>
  <c r="B6373" i="1"/>
  <c r="A6374" i="1"/>
  <c r="B6374" i="1"/>
  <c r="A6375" i="1"/>
  <c r="B6375" i="1"/>
  <c r="A6376" i="1"/>
  <c r="B6376" i="1"/>
  <c r="A6377" i="1"/>
  <c r="B6377" i="1"/>
  <c r="A6378" i="1"/>
  <c r="A6379" i="1"/>
  <c r="B6379" i="1"/>
  <c r="A6380" i="1"/>
  <c r="B6380" i="1"/>
  <c r="A6381" i="1"/>
  <c r="B6381" i="1"/>
  <c r="A6382" i="1"/>
  <c r="A6383" i="1"/>
  <c r="B6383" i="1"/>
  <c r="A6384" i="1"/>
  <c r="B6384" i="1"/>
  <c r="A6385" i="1"/>
  <c r="B6385" i="1"/>
  <c r="A6386" i="1"/>
  <c r="B6386" i="1"/>
  <c r="A6387" i="1"/>
  <c r="B6387" i="1"/>
  <c r="A6388" i="1"/>
  <c r="B6388" i="1"/>
  <c r="A6389" i="1"/>
  <c r="A6390" i="1"/>
  <c r="B6390" i="1"/>
  <c r="A6391" i="1"/>
  <c r="A6392" i="1"/>
  <c r="B6392" i="1"/>
  <c r="A6393" i="1"/>
  <c r="B6393" i="1"/>
  <c r="A6394" i="1"/>
  <c r="A6395" i="1"/>
  <c r="A6396" i="1"/>
  <c r="B6396" i="1"/>
  <c r="A6397" i="1"/>
  <c r="A6398" i="1"/>
  <c r="A6399" i="1"/>
  <c r="A6400" i="1"/>
  <c r="B6400" i="1"/>
  <c r="A6401" i="1"/>
  <c r="B6401" i="1"/>
  <c r="A6402" i="1"/>
  <c r="B6402" i="1"/>
  <c r="A6403" i="1"/>
  <c r="A6404" i="1"/>
  <c r="A6405" i="1"/>
  <c r="A6406" i="1"/>
  <c r="A6407" i="1"/>
  <c r="A6408" i="1"/>
  <c r="B6408" i="1"/>
  <c r="A6409" i="1"/>
  <c r="B6409" i="1"/>
  <c r="A6410" i="1"/>
  <c r="A6411" i="1"/>
  <c r="B6411" i="1"/>
  <c r="A6412" i="1"/>
  <c r="B6412" i="1"/>
  <c r="A6413" i="1"/>
  <c r="B6413" i="1"/>
  <c r="A6414" i="1"/>
  <c r="B6414" i="1"/>
  <c r="A6415" i="1"/>
  <c r="B6415" i="1"/>
  <c r="A6416" i="1"/>
  <c r="A6417" i="1"/>
  <c r="B6417" i="1"/>
  <c r="A6418" i="1"/>
  <c r="B6418" i="1"/>
  <c r="A6419" i="1"/>
  <c r="A6420" i="1"/>
  <c r="B6420" i="1"/>
  <c r="A6421" i="1"/>
  <c r="A6422" i="1"/>
  <c r="B6422" i="1"/>
  <c r="A6423" i="1"/>
  <c r="B6423" i="1"/>
  <c r="A6424" i="1"/>
  <c r="B6424" i="1"/>
  <c r="A6425" i="1"/>
  <c r="B6425" i="1"/>
  <c r="A6426" i="1"/>
  <c r="B6426" i="1"/>
  <c r="A6427" i="1"/>
  <c r="A6428" i="1"/>
  <c r="B6428" i="1"/>
  <c r="A6429" i="1"/>
  <c r="B6429" i="1"/>
  <c r="A6430" i="1"/>
  <c r="B6430" i="1"/>
  <c r="A6431" i="1"/>
  <c r="B6431" i="1"/>
  <c r="A6432" i="1"/>
  <c r="B6432" i="1"/>
  <c r="A6433" i="1"/>
  <c r="B6433" i="1"/>
  <c r="A6434" i="1"/>
  <c r="B6434" i="1"/>
  <c r="A6435" i="1"/>
  <c r="B6435" i="1"/>
  <c r="A6436" i="1"/>
  <c r="A6437" i="1"/>
  <c r="B6437" i="1"/>
  <c r="A6438" i="1"/>
  <c r="B6438" i="1"/>
  <c r="A6439" i="1"/>
  <c r="B6439" i="1"/>
  <c r="A6440" i="1"/>
  <c r="A6441" i="1"/>
  <c r="B6441" i="1"/>
  <c r="A6442" i="1"/>
  <c r="B6442" i="1"/>
  <c r="A6443" i="1"/>
  <c r="B6443" i="1"/>
  <c r="A6444" i="1"/>
  <c r="B6444" i="1"/>
  <c r="A6445" i="1"/>
  <c r="B6445" i="1"/>
  <c r="A6446" i="1"/>
  <c r="A6447" i="1"/>
  <c r="B6447" i="1"/>
  <c r="A6448" i="1"/>
  <c r="B6448" i="1"/>
  <c r="A6449" i="1"/>
  <c r="B6449" i="1"/>
  <c r="A6450" i="1"/>
  <c r="B6450" i="1"/>
  <c r="A6451" i="1"/>
  <c r="A6452" i="1"/>
  <c r="B6452" i="1"/>
  <c r="A6453" i="1"/>
  <c r="B6453" i="1"/>
  <c r="A6454" i="1"/>
  <c r="B6454" i="1"/>
  <c r="A6455" i="1"/>
  <c r="B6455" i="1"/>
  <c r="A6456" i="1"/>
  <c r="A6457" i="1"/>
  <c r="A6458" i="1"/>
  <c r="B6458" i="1"/>
  <c r="A6459" i="1"/>
  <c r="B6459" i="1"/>
  <c r="A6460" i="1"/>
  <c r="A6461" i="1"/>
  <c r="B6461" i="1"/>
  <c r="A6462" i="1"/>
  <c r="B6462" i="1"/>
  <c r="A6463" i="1"/>
  <c r="B6463" i="1"/>
  <c r="A6464" i="1"/>
  <c r="B6464" i="1"/>
  <c r="A6465" i="1"/>
  <c r="B6465" i="1"/>
  <c r="A6466" i="1"/>
  <c r="B6466" i="1"/>
  <c r="A6467" i="1"/>
  <c r="B6467" i="1"/>
  <c r="A6468" i="1"/>
  <c r="B6468" i="1"/>
  <c r="A6469" i="1"/>
  <c r="A6470" i="1"/>
  <c r="B6470" i="1"/>
  <c r="A6471" i="1"/>
  <c r="A6472" i="1"/>
  <c r="B6472" i="1"/>
  <c r="A6473" i="1"/>
  <c r="B6473" i="1"/>
  <c r="A6474" i="1"/>
  <c r="B6474" i="1"/>
  <c r="A6475" i="1"/>
  <c r="B6475" i="1"/>
  <c r="A6476" i="1"/>
  <c r="B6476" i="1"/>
  <c r="A6477" i="1"/>
  <c r="B6477" i="1"/>
  <c r="A6478" i="1"/>
  <c r="B6478" i="1"/>
  <c r="A6479" i="1"/>
  <c r="B6479" i="1"/>
  <c r="A6480" i="1"/>
  <c r="B6480" i="1"/>
  <c r="A6481" i="1"/>
  <c r="A6482" i="1"/>
  <c r="B6482" i="1"/>
  <c r="A6483" i="1"/>
  <c r="A6484" i="1"/>
  <c r="A6485" i="1"/>
  <c r="B6485" i="1"/>
  <c r="A6486" i="1"/>
  <c r="B6486" i="1"/>
  <c r="A6487" i="1"/>
  <c r="B6487" i="1"/>
  <c r="A6488" i="1"/>
  <c r="B6488" i="1"/>
  <c r="A6489" i="1"/>
  <c r="A6490" i="1"/>
  <c r="B6490" i="1"/>
  <c r="A6491" i="1"/>
  <c r="B6491" i="1"/>
  <c r="A6492" i="1"/>
  <c r="B6492" i="1"/>
  <c r="A6493" i="1"/>
  <c r="B6493" i="1"/>
  <c r="A6494" i="1"/>
  <c r="B6494" i="1"/>
  <c r="A6495" i="1"/>
  <c r="B6495" i="1"/>
  <c r="A6496" i="1"/>
  <c r="A6497" i="1"/>
  <c r="B6497" i="1"/>
  <c r="A6498" i="1"/>
  <c r="B6498" i="1"/>
  <c r="A6499" i="1"/>
  <c r="B6499" i="1"/>
  <c r="A6500" i="1"/>
  <c r="B6500" i="1"/>
  <c r="A6501" i="1"/>
  <c r="B6501" i="1"/>
  <c r="A6502" i="1"/>
  <c r="A6503" i="1"/>
  <c r="A6504" i="1"/>
  <c r="A6505" i="1"/>
  <c r="B6505" i="1"/>
  <c r="A6506" i="1"/>
  <c r="B6506" i="1"/>
  <c r="A6507" i="1"/>
  <c r="B6507" i="1"/>
  <c r="A6508" i="1"/>
  <c r="B6508" i="1"/>
  <c r="A6509" i="1"/>
  <c r="B6509" i="1"/>
  <c r="A6510" i="1"/>
  <c r="B6510" i="1"/>
  <c r="A6511" i="1"/>
  <c r="B6511" i="1"/>
  <c r="A6512" i="1"/>
  <c r="B6512" i="1"/>
  <c r="A6513" i="1"/>
  <c r="B6513" i="1"/>
  <c r="A6514" i="1"/>
  <c r="A6515" i="1"/>
  <c r="B6515" i="1"/>
  <c r="A6516" i="1"/>
  <c r="B6516" i="1"/>
  <c r="A6517" i="1"/>
  <c r="B6517" i="1"/>
  <c r="A6518" i="1"/>
  <c r="B6518" i="1"/>
  <c r="A6519" i="1"/>
  <c r="A6520" i="1"/>
  <c r="A6521" i="1"/>
  <c r="B6521" i="1"/>
  <c r="A6522" i="1"/>
  <c r="B6522" i="1"/>
  <c r="A6523" i="1"/>
  <c r="A6524" i="1"/>
  <c r="B6524" i="1"/>
  <c r="A6525" i="1"/>
  <c r="A6526" i="1"/>
  <c r="B6526" i="1"/>
  <c r="A6527" i="1"/>
  <c r="B6527" i="1"/>
  <c r="A6528" i="1"/>
  <c r="B6528" i="1"/>
  <c r="A6529" i="1"/>
  <c r="B6529" i="1"/>
  <c r="A6530" i="1"/>
  <c r="B6530" i="1"/>
  <c r="A6531" i="1"/>
  <c r="B6531" i="1"/>
  <c r="A6532" i="1"/>
  <c r="B6532" i="1"/>
  <c r="A6533" i="1"/>
  <c r="B6533" i="1"/>
  <c r="A6534" i="1"/>
  <c r="B6534" i="1"/>
  <c r="A6535" i="1"/>
  <c r="B6535" i="1"/>
  <c r="A6536" i="1"/>
  <c r="B6536" i="1"/>
  <c r="A6537" i="1"/>
  <c r="A6538" i="1"/>
  <c r="B6538" i="1"/>
  <c r="A6539" i="1"/>
  <c r="A6540" i="1"/>
  <c r="B6540" i="1"/>
  <c r="A6541" i="1"/>
  <c r="B6541" i="1"/>
  <c r="A6542" i="1"/>
  <c r="B6542" i="1"/>
  <c r="A6543" i="1"/>
  <c r="A6544" i="1"/>
  <c r="A6545" i="1"/>
  <c r="A6546" i="1"/>
  <c r="A6547" i="1"/>
  <c r="A6548" i="1"/>
  <c r="B6548" i="1"/>
  <c r="A6549" i="1"/>
  <c r="A6550" i="1"/>
  <c r="B6550" i="1"/>
  <c r="A6551" i="1"/>
  <c r="B6551" i="1"/>
  <c r="A6552" i="1"/>
  <c r="B6552" i="1"/>
  <c r="A6553" i="1"/>
  <c r="A6554" i="1"/>
  <c r="A6555" i="1"/>
  <c r="B6555" i="1"/>
  <c r="A6556" i="1"/>
  <c r="B6556" i="1"/>
  <c r="A6557" i="1"/>
  <c r="B6557" i="1"/>
  <c r="A6558" i="1"/>
  <c r="B6558" i="1"/>
  <c r="A6559" i="1"/>
  <c r="B6559" i="1"/>
  <c r="A6560" i="1"/>
  <c r="A6561" i="1"/>
  <c r="B6561" i="1"/>
  <c r="A6562" i="1"/>
  <c r="A6563" i="1"/>
  <c r="A6564" i="1"/>
  <c r="B6564" i="1"/>
  <c r="A6565" i="1"/>
  <c r="B6565" i="1"/>
  <c r="A6566" i="1"/>
  <c r="B6566" i="1"/>
  <c r="A6567" i="1"/>
  <c r="A6568" i="1"/>
  <c r="B6568" i="1"/>
  <c r="A6569" i="1"/>
  <c r="B6569" i="1"/>
  <c r="A6570" i="1"/>
  <c r="B6570" i="1"/>
  <c r="A6571" i="1"/>
  <c r="B6571" i="1"/>
  <c r="A6572" i="1"/>
  <c r="B6572" i="1"/>
  <c r="A6573" i="1"/>
  <c r="B6573" i="1"/>
  <c r="A6574" i="1"/>
  <c r="B6574" i="1"/>
  <c r="A6575" i="1"/>
  <c r="A6576" i="1"/>
  <c r="B6576" i="1"/>
  <c r="A6577" i="1"/>
  <c r="B6577" i="1"/>
  <c r="A6578" i="1"/>
  <c r="B6578" i="1"/>
  <c r="A6579" i="1"/>
  <c r="B6579" i="1"/>
  <c r="A6580" i="1"/>
  <c r="A6581" i="1"/>
  <c r="B6581" i="1"/>
  <c r="A6582" i="1"/>
  <c r="A6583" i="1"/>
  <c r="B6583" i="1"/>
  <c r="A6584" i="1"/>
  <c r="B6584" i="1"/>
  <c r="A6585" i="1"/>
  <c r="B6585" i="1"/>
  <c r="A6586" i="1"/>
  <c r="B6586" i="1"/>
  <c r="A6587" i="1"/>
  <c r="B6587" i="1"/>
  <c r="A6588" i="1"/>
  <c r="B6588" i="1"/>
  <c r="A6589" i="1"/>
  <c r="B6589" i="1"/>
  <c r="A6590" i="1"/>
  <c r="B6590" i="1"/>
  <c r="A6591" i="1"/>
  <c r="B6591" i="1"/>
  <c r="A6592" i="1"/>
  <c r="B6592" i="1"/>
  <c r="A6593" i="1"/>
  <c r="B6593" i="1"/>
  <c r="A6594" i="1"/>
  <c r="B6594" i="1"/>
  <c r="A6595" i="1"/>
  <c r="A6596" i="1"/>
  <c r="B6596" i="1"/>
  <c r="A6597" i="1"/>
  <c r="B6597" i="1"/>
  <c r="A6598" i="1"/>
  <c r="B6598" i="1"/>
  <c r="A6599" i="1"/>
  <c r="B6599" i="1"/>
  <c r="A6600" i="1"/>
  <c r="B6600" i="1"/>
  <c r="A6601" i="1"/>
  <c r="B6601" i="1"/>
  <c r="A6602" i="1"/>
  <c r="B6602" i="1"/>
  <c r="A6603" i="1"/>
  <c r="A6604" i="1"/>
  <c r="B6604" i="1"/>
  <c r="A6605" i="1"/>
  <c r="A6606" i="1"/>
  <c r="B6606" i="1"/>
  <c r="A6607" i="1"/>
  <c r="B6607" i="1"/>
  <c r="A6608" i="1"/>
  <c r="A6609" i="1"/>
  <c r="A6610" i="1"/>
  <c r="B6610" i="1"/>
  <c r="A6611" i="1"/>
  <c r="B6611" i="1"/>
  <c r="A6612" i="1"/>
  <c r="B6612" i="1"/>
  <c r="A6613" i="1"/>
  <c r="B6613" i="1"/>
  <c r="A6614" i="1"/>
  <c r="B6614" i="1"/>
  <c r="A6615" i="1"/>
  <c r="B6615" i="1"/>
  <c r="A6616" i="1"/>
  <c r="B6616" i="1"/>
  <c r="A6617" i="1"/>
  <c r="B6617" i="1"/>
  <c r="A6618" i="1"/>
  <c r="B6618" i="1"/>
  <c r="A6619" i="1"/>
  <c r="B6619" i="1"/>
  <c r="A6620" i="1"/>
  <c r="B6620" i="1"/>
  <c r="A6621" i="1"/>
  <c r="B6621" i="1"/>
  <c r="A6622" i="1"/>
  <c r="B6622" i="1"/>
  <c r="A6623" i="1"/>
  <c r="B6623" i="1"/>
  <c r="A6624" i="1"/>
  <c r="A6625" i="1"/>
  <c r="A6626" i="1"/>
  <c r="B6626" i="1"/>
  <c r="A6627" i="1"/>
  <c r="B6627" i="1"/>
  <c r="A6628" i="1"/>
  <c r="A6629" i="1"/>
  <c r="B6629" i="1"/>
  <c r="A6630" i="1"/>
  <c r="A6631" i="1"/>
  <c r="B6631" i="1"/>
  <c r="A6632" i="1"/>
  <c r="A6633" i="1"/>
  <c r="A6634" i="1"/>
  <c r="A6635" i="1"/>
  <c r="A6636" i="1"/>
  <c r="A6637" i="1"/>
  <c r="B6637" i="1"/>
  <c r="A6638" i="1"/>
  <c r="B6638" i="1"/>
  <c r="A6639" i="1"/>
  <c r="B6639" i="1"/>
  <c r="A6640" i="1"/>
  <c r="B6640" i="1"/>
  <c r="A6641" i="1"/>
  <c r="B6641" i="1"/>
  <c r="A6642" i="1"/>
  <c r="B6642" i="1"/>
  <c r="A6643" i="1"/>
  <c r="A6644" i="1"/>
  <c r="B6644" i="1"/>
  <c r="A6645" i="1"/>
  <c r="B6645" i="1"/>
  <c r="A6646" i="1"/>
  <c r="B6646" i="1"/>
  <c r="A6647" i="1"/>
  <c r="B6647" i="1"/>
  <c r="A6648" i="1"/>
  <c r="B6648" i="1"/>
  <c r="A6649" i="1"/>
  <c r="A6650" i="1"/>
  <c r="A6651" i="1"/>
  <c r="A6652" i="1"/>
  <c r="B6652" i="1"/>
  <c r="A6653" i="1"/>
  <c r="B6653" i="1"/>
  <c r="A6654" i="1"/>
  <c r="B6654" i="1"/>
  <c r="A6655" i="1"/>
  <c r="B6655" i="1"/>
  <c r="A6656" i="1"/>
  <c r="B6656" i="1"/>
  <c r="A6657" i="1"/>
  <c r="B6657" i="1"/>
  <c r="A6658" i="1"/>
  <c r="B6658" i="1"/>
  <c r="A6659" i="1"/>
  <c r="A6660" i="1"/>
  <c r="B6660" i="1"/>
  <c r="A6661" i="1"/>
  <c r="B6661" i="1"/>
  <c r="A6662" i="1"/>
  <c r="B6662" i="1"/>
  <c r="A6663" i="1"/>
  <c r="B6663" i="1"/>
  <c r="A6664" i="1"/>
  <c r="A6665" i="1"/>
  <c r="B6665" i="1"/>
  <c r="A6666" i="1"/>
  <c r="B6666" i="1"/>
  <c r="A6667" i="1"/>
  <c r="A6668" i="1"/>
  <c r="A6669" i="1"/>
  <c r="B6669" i="1"/>
  <c r="A6670" i="1"/>
  <c r="B6670" i="1"/>
  <c r="A6671" i="1"/>
  <c r="B6671" i="1"/>
  <c r="A6672" i="1"/>
  <c r="B6672" i="1"/>
  <c r="A6673" i="1"/>
  <c r="A6674" i="1"/>
  <c r="B6674" i="1"/>
  <c r="A6675" i="1"/>
  <c r="B6675" i="1"/>
  <c r="A6676" i="1"/>
  <c r="A6677" i="1"/>
  <c r="B6677" i="1"/>
  <c r="A6678" i="1"/>
  <c r="B6678" i="1"/>
  <c r="A6679" i="1"/>
  <c r="A6680" i="1"/>
  <c r="B6680" i="1"/>
  <c r="A6681" i="1"/>
  <c r="B6681" i="1"/>
  <c r="A6682" i="1"/>
  <c r="B6682" i="1"/>
  <c r="A6683" i="1"/>
  <c r="B6683" i="1"/>
  <c r="A6684" i="1"/>
  <c r="B6684" i="1"/>
  <c r="A6685" i="1"/>
  <c r="B6685" i="1"/>
  <c r="A6686" i="1"/>
  <c r="B6686" i="1"/>
  <c r="A6687" i="1"/>
  <c r="B6687" i="1"/>
  <c r="A6688" i="1"/>
  <c r="A6689" i="1"/>
  <c r="B6689" i="1"/>
  <c r="A6690" i="1"/>
  <c r="B6690" i="1"/>
  <c r="A6691" i="1"/>
  <c r="B6691" i="1"/>
  <c r="A6692" i="1"/>
  <c r="A6693" i="1"/>
  <c r="B6693" i="1"/>
  <c r="A6694" i="1"/>
  <c r="B6694" i="1"/>
  <c r="A6695" i="1"/>
  <c r="B6695" i="1"/>
  <c r="A6696" i="1"/>
  <c r="B6696" i="1"/>
  <c r="A6697" i="1"/>
  <c r="B6697" i="1"/>
  <c r="A6698" i="1"/>
  <c r="B6698" i="1"/>
  <c r="A6699" i="1"/>
  <c r="B6699" i="1"/>
  <c r="A6700" i="1"/>
  <c r="B6700" i="1"/>
  <c r="A6701" i="1"/>
  <c r="B6701" i="1"/>
  <c r="A6702" i="1"/>
  <c r="A6703" i="1"/>
  <c r="B6703" i="1"/>
  <c r="A6704" i="1"/>
  <c r="B6704" i="1"/>
  <c r="A6705" i="1"/>
  <c r="B6705" i="1"/>
  <c r="A6706" i="1"/>
  <c r="A6707" i="1"/>
  <c r="A6708" i="1"/>
  <c r="B6708" i="1"/>
  <c r="A6709" i="1"/>
  <c r="B6709" i="1"/>
  <c r="A6710" i="1"/>
  <c r="A6711" i="1"/>
  <c r="B6711" i="1"/>
  <c r="A6712" i="1"/>
  <c r="A6713" i="1"/>
  <c r="B6713" i="1"/>
  <c r="A6714" i="1"/>
  <c r="B6714" i="1"/>
  <c r="A6715" i="1"/>
  <c r="B6715" i="1"/>
  <c r="A6716" i="1"/>
  <c r="B6716" i="1"/>
  <c r="A6717" i="1"/>
  <c r="B6717" i="1"/>
  <c r="A6718" i="1"/>
  <c r="B6718" i="1"/>
  <c r="A6719" i="1"/>
  <c r="B6719" i="1"/>
  <c r="A6720" i="1"/>
  <c r="B6720" i="1"/>
  <c r="A6721" i="1"/>
  <c r="A6722" i="1"/>
  <c r="B6722" i="1"/>
  <c r="A6723" i="1"/>
  <c r="B6723" i="1"/>
  <c r="A6724" i="1"/>
  <c r="B6724" i="1"/>
  <c r="A6725" i="1"/>
  <c r="B6725" i="1"/>
  <c r="A6726" i="1"/>
  <c r="B6726" i="1"/>
  <c r="A6727" i="1"/>
  <c r="A6728" i="1"/>
  <c r="B6728" i="1"/>
  <c r="A6729" i="1"/>
  <c r="B6729" i="1"/>
  <c r="A6730" i="1"/>
  <c r="B6730" i="1"/>
  <c r="A6731" i="1"/>
  <c r="B6731" i="1"/>
  <c r="A6732" i="1"/>
  <c r="B6732" i="1"/>
  <c r="A6733" i="1"/>
  <c r="B6733" i="1"/>
  <c r="A6734" i="1"/>
  <c r="B6734" i="1"/>
  <c r="A6735" i="1"/>
  <c r="B6735" i="1"/>
  <c r="A6736" i="1"/>
  <c r="A6737" i="1"/>
  <c r="A6738" i="1"/>
  <c r="A6739" i="1"/>
  <c r="B6739" i="1"/>
  <c r="A6740" i="1"/>
  <c r="B6740" i="1"/>
  <c r="A6741" i="1"/>
  <c r="A6742" i="1"/>
  <c r="B6742" i="1"/>
  <c r="A6743" i="1"/>
  <c r="B6743" i="1"/>
  <c r="A6744" i="1"/>
  <c r="B6744" i="1"/>
  <c r="A6745" i="1"/>
  <c r="B6745" i="1"/>
  <c r="A6746" i="1"/>
  <c r="B6746" i="1"/>
  <c r="A6747" i="1"/>
  <c r="A6748" i="1"/>
  <c r="A6749" i="1"/>
  <c r="B6749" i="1"/>
  <c r="A6750" i="1"/>
  <c r="B6750" i="1"/>
  <c r="A6751" i="1"/>
  <c r="A6752" i="1"/>
  <c r="A6753" i="1"/>
  <c r="B6753" i="1"/>
  <c r="A6754" i="1"/>
  <c r="B6754" i="1"/>
  <c r="A6755" i="1"/>
  <c r="B6755" i="1"/>
  <c r="A6756" i="1"/>
  <c r="B6756" i="1"/>
  <c r="A6757" i="1"/>
  <c r="B6757" i="1"/>
  <c r="A6758" i="1"/>
  <c r="B6758" i="1"/>
  <c r="A6759" i="1"/>
  <c r="B6759" i="1"/>
  <c r="A6760" i="1"/>
  <c r="B6760" i="1"/>
  <c r="A6761" i="1"/>
  <c r="A6762" i="1"/>
  <c r="B6762" i="1"/>
  <c r="A6763" i="1"/>
  <c r="B6763" i="1"/>
  <c r="A6764" i="1"/>
  <c r="B6764" i="1"/>
  <c r="A6765" i="1"/>
  <c r="B6765" i="1"/>
  <c r="A6766" i="1"/>
  <c r="B6766" i="1"/>
  <c r="A6767" i="1"/>
  <c r="B6767" i="1"/>
  <c r="A6768" i="1"/>
  <c r="B6768" i="1"/>
  <c r="A6769" i="1"/>
  <c r="B6769" i="1"/>
  <c r="A6770" i="1"/>
  <c r="B6770" i="1"/>
  <c r="A6771" i="1"/>
  <c r="B6771" i="1"/>
  <c r="A6772" i="1"/>
  <c r="B6772" i="1"/>
  <c r="A6773" i="1"/>
  <c r="B6773" i="1"/>
  <c r="A6774" i="1"/>
  <c r="B6774" i="1"/>
  <c r="A6775" i="1"/>
  <c r="A6776" i="1"/>
  <c r="A6777" i="1"/>
  <c r="A6778" i="1"/>
  <c r="B6778" i="1"/>
  <c r="A6779" i="1"/>
  <c r="A6780" i="1"/>
  <c r="B6780" i="1"/>
  <c r="A6781" i="1"/>
  <c r="B6781" i="1"/>
  <c r="A6782" i="1"/>
  <c r="B6782" i="1"/>
  <c r="A6783" i="1"/>
  <c r="B6783" i="1"/>
  <c r="A6784" i="1"/>
  <c r="B6784" i="1"/>
  <c r="A6785" i="1"/>
  <c r="B6785" i="1"/>
  <c r="A6786" i="1"/>
  <c r="B6786" i="1"/>
  <c r="A6787" i="1"/>
  <c r="B6787" i="1"/>
  <c r="A6788" i="1"/>
  <c r="B6788" i="1"/>
  <c r="A6789" i="1"/>
  <c r="B6789" i="1"/>
  <c r="A6790" i="1"/>
  <c r="B6790" i="1"/>
  <c r="A6791" i="1"/>
  <c r="B6791" i="1"/>
  <c r="A6792" i="1"/>
  <c r="B6792" i="1"/>
  <c r="A6793" i="1"/>
  <c r="B6793" i="1"/>
  <c r="A6794" i="1"/>
  <c r="B6794" i="1"/>
  <c r="A6795" i="1"/>
  <c r="B6795" i="1"/>
  <c r="A6796" i="1"/>
  <c r="A6797" i="1"/>
  <c r="B6797" i="1"/>
  <c r="A6798" i="1"/>
  <c r="B6798" i="1"/>
  <c r="A6799" i="1"/>
  <c r="B6799" i="1"/>
  <c r="A6800" i="1"/>
  <c r="B6800" i="1"/>
  <c r="A6801" i="1"/>
  <c r="B6801" i="1"/>
  <c r="A6802" i="1"/>
  <c r="B6802" i="1"/>
  <c r="A6803" i="1"/>
  <c r="B6803" i="1"/>
  <c r="A6804" i="1"/>
  <c r="B6804" i="1"/>
  <c r="A6805" i="1"/>
  <c r="B6805" i="1"/>
  <c r="A6806" i="1"/>
  <c r="B6806" i="1"/>
  <c r="A6807" i="1"/>
  <c r="B6807" i="1"/>
  <c r="A6808" i="1"/>
  <c r="B6808" i="1"/>
  <c r="A6809" i="1"/>
  <c r="B6809" i="1"/>
  <c r="A6810" i="1"/>
  <c r="B6810" i="1"/>
  <c r="A6811" i="1"/>
  <c r="B6811" i="1"/>
  <c r="A6812" i="1"/>
  <c r="B6812" i="1"/>
  <c r="A6813" i="1"/>
  <c r="B6813" i="1"/>
  <c r="A6814" i="1"/>
  <c r="B6814" i="1"/>
  <c r="A6815" i="1"/>
  <c r="A6816" i="1"/>
  <c r="A6817" i="1"/>
  <c r="B6817" i="1"/>
  <c r="A6818" i="1"/>
  <c r="A6819" i="1"/>
  <c r="B6819" i="1"/>
  <c r="A6820" i="1"/>
  <c r="B6820" i="1"/>
  <c r="A6821" i="1"/>
  <c r="B6821" i="1"/>
  <c r="A6822" i="1"/>
  <c r="A6823" i="1"/>
  <c r="B6823" i="1"/>
  <c r="A6824" i="1"/>
  <c r="B6824" i="1"/>
  <c r="A6825" i="1"/>
  <c r="A6826" i="1"/>
  <c r="B6826" i="1"/>
  <c r="A6827" i="1"/>
  <c r="B6827" i="1"/>
  <c r="A6828" i="1"/>
  <c r="B6828" i="1"/>
  <c r="A6829" i="1"/>
  <c r="B6829" i="1"/>
  <c r="A6830" i="1"/>
  <c r="A6831" i="1"/>
  <c r="B6831" i="1"/>
  <c r="A6832" i="1"/>
  <c r="B6832" i="1"/>
  <c r="A6833" i="1"/>
  <c r="B6833" i="1"/>
  <c r="A6834" i="1"/>
  <c r="B6834" i="1"/>
  <c r="A6835" i="1"/>
  <c r="B6835" i="1"/>
  <c r="A6836" i="1"/>
  <c r="A6837" i="1"/>
  <c r="B6837" i="1"/>
  <c r="A6838" i="1"/>
  <c r="B6838" i="1"/>
  <c r="A6839" i="1"/>
  <c r="B6839" i="1"/>
  <c r="A6840" i="1"/>
  <c r="B6840" i="1"/>
  <c r="A6841" i="1"/>
  <c r="B6841" i="1"/>
  <c r="A6842" i="1"/>
  <c r="B6842" i="1"/>
  <c r="A6843" i="1"/>
  <c r="B6843" i="1"/>
  <c r="A6844" i="1"/>
  <c r="B6844" i="1"/>
  <c r="A6845" i="1"/>
  <c r="B6845" i="1"/>
  <c r="A6846" i="1"/>
  <c r="B6846" i="1"/>
  <c r="A6847" i="1"/>
  <c r="B6847" i="1"/>
  <c r="A6848" i="1"/>
  <c r="B6848" i="1"/>
  <c r="A6849" i="1"/>
  <c r="B6849" i="1"/>
  <c r="A6850" i="1"/>
  <c r="B6850" i="1"/>
  <c r="A6851" i="1"/>
  <c r="B6851" i="1"/>
  <c r="A6852" i="1"/>
  <c r="A6853" i="1"/>
  <c r="B6853" i="1"/>
  <c r="A6854" i="1"/>
  <c r="B6854" i="1"/>
  <c r="A6855" i="1"/>
  <c r="B6855" i="1"/>
  <c r="A6856" i="1"/>
  <c r="B6856" i="1"/>
  <c r="A6857" i="1"/>
  <c r="B6857" i="1"/>
  <c r="A6858" i="1"/>
  <c r="A6859" i="1"/>
  <c r="B6859" i="1"/>
  <c r="A6860" i="1"/>
  <c r="B6860" i="1"/>
  <c r="A6861" i="1"/>
  <c r="B6861" i="1"/>
  <c r="A6862" i="1"/>
  <c r="B6862" i="1"/>
  <c r="A6863" i="1"/>
  <c r="A6864" i="1"/>
  <c r="A6865" i="1"/>
  <c r="B6865" i="1"/>
  <c r="A6866" i="1"/>
  <c r="B6866" i="1"/>
  <c r="A6867" i="1"/>
  <c r="B6867" i="1"/>
  <c r="A6868" i="1"/>
  <c r="B6868" i="1"/>
  <c r="A6869" i="1"/>
  <c r="B6869" i="1"/>
  <c r="A6870" i="1"/>
  <c r="B6870" i="1"/>
  <c r="A6871" i="1"/>
  <c r="B6871" i="1"/>
  <c r="A6872" i="1"/>
  <c r="B6872" i="1"/>
  <c r="A6873" i="1"/>
  <c r="B6873" i="1"/>
  <c r="A6874" i="1"/>
  <c r="A6875" i="1"/>
  <c r="A6876" i="1"/>
  <c r="B6876" i="1"/>
  <c r="A6877" i="1"/>
  <c r="A6878" i="1"/>
  <c r="A6879" i="1"/>
  <c r="A6880" i="1"/>
  <c r="B6880" i="1"/>
  <c r="A6881" i="1"/>
  <c r="B6881" i="1"/>
  <c r="A6882" i="1"/>
  <c r="A6883" i="1"/>
  <c r="A6884" i="1"/>
  <c r="A6885" i="1"/>
  <c r="A6886" i="1"/>
  <c r="A6887" i="1"/>
  <c r="B6887" i="1"/>
  <c r="A6888" i="1"/>
  <c r="B6888" i="1"/>
  <c r="A6889" i="1"/>
  <c r="A6890" i="1"/>
  <c r="B6890" i="1"/>
  <c r="A6891" i="1"/>
  <c r="B6891" i="1"/>
  <c r="A6892" i="1"/>
  <c r="A6893" i="1"/>
  <c r="A6894" i="1"/>
  <c r="B6894" i="1"/>
  <c r="A6895" i="1"/>
  <c r="B6895" i="1"/>
  <c r="A6896" i="1"/>
  <c r="B6896" i="1"/>
  <c r="A6897" i="1"/>
  <c r="B6897" i="1"/>
  <c r="A6898" i="1"/>
  <c r="B6898" i="1"/>
  <c r="A6899" i="1"/>
  <c r="B6899" i="1"/>
  <c r="A6900" i="1"/>
  <c r="A6901" i="1"/>
  <c r="B6901" i="1"/>
  <c r="A6902" i="1"/>
  <c r="A6903" i="1"/>
  <c r="A6904" i="1"/>
  <c r="B6904" i="1"/>
  <c r="A6905" i="1"/>
  <c r="B6905" i="1"/>
  <c r="A6906" i="1"/>
  <c r="B6906" i="1"/>
  <c r="A6907" i="1"/>
  <c r="B6907" i="1"/>
  <c r="A6908" i="1"/>
  <c r="B6908" i="1"/>
  <c r="A6909" i="1"/>
  <c r="A6910" i="1"/>
  <c r="B6910" i="1"/>
  <c r="A6911" i="1"/>
  <c r="B6911" i="1"/>
  <c r="A6912" i="1"/>
  <c r="A6913" i="1"/>
  <c r="B6913" i="1"/>
  <c r="A6914" i="1"/>
  <c r="B6914" i="1"/>
  <c r="A6915" i="1"/>
  <c r="B6915" i="1"/>
  <c r="A6916" i="1"/>
  <c r="B6916" i="1"/>
  <c r="A6917" i="1"/>
  <c r="B6917" i="1"/>
  <c r="A6918" i="1"/>
  <c r="A6919" i="1"/>
  <c r="B6919" i="1"/>
  <c r="A6920" i="1"/>
  <c r="B6920" i="1"/>
  <c r="A6921" i="1"/>
  <c r="B6921" i="1"/>
  <c r="A6922" i="1"/>
  <c r="B6922" i="1"/>
  <c r="A6923" i="1"/>
  <c r="B6923" i="1"/>
  <c r="A6924" i="1"/>
  <c r="A6925" i="1"/>
  <c r="A6926" i="1"/>
  <c r="B6926" i="1"/>
  <c r="A6927" i="1"/>
  <c r="A6928" i="1"/>
  <c r="A6929" i="1"/>
  <c r="A6930" i="1"/>
  <c r="B6930" i="1"/>
  <c r="A6931" i="1"/>
  <c r="B6931" i="1"/>
  <c r="A6932" i="1"/>
  <c r="B6932" i="1"/>
  <c r="A6933" i="1"/>
  <c r="B6933" i="1"/>
  <c r="A6934" i="1"/>
  <c r="A6935" i="1"/>
  <c r="B6935" i="1"/>
  <c r="A6936" i="1"/>
  <c r="B6936" i="1"/>
  <c r="A6937" i="1"/>
  <c r="B6937" i="1"/>
  <c r="A6938" i="1"/>
  <c r="B6938" i="1"/>
  <c r="A6939" i="1"/>
  <c r="B6939" i="1"/>
  <c r="A6940" i="1"/>
  <c r="A6941" i="1"/>
  <c r="B6941" i="1"/>
  <c r="A6942" i="1"/>
  <c r="A6943" i="1"/>
  <c r="A6944" i="1"/>
  <c r="A6945" i="1"/>
  <c r="A6946" i="1"/>
  <c r="A6947" i="1"/>
  <c r="B6947" i="1"/>
  <c r="A6948" i="1"/>
  <c r="A6949" i="1"/>
  <c r="A6950" i="1"/>
  <c r="A6951" i="1"/>
  <c r="B6951" i="1"/>
  <c r="A6952" i="1"/>
  <c r="B6952" i="1"/>
  <c r="A6953" i="1"/>
  <c r="B6953" i="1"/>
  <c r="A6954" i="1"/>
  <c r="A6955" i="1"/>
  <c r="B6955" i="1"/>
  <c r="A6956" i="1"/>
  <c r="B6956" i="1"/>
  <c r="A6957" i="1"/>
  <c r="B6957" i="1"/>
  <c r="A6958" i="1"/>
  <c r="A6959" i="1"/>
  <c r="B6959" i="1"/>
  <c r="A6960" i="1"/>
  <c r="B6960" i="1"/>
  <c r="A6961" i="1"/>
  <c r="B6961" i="1"/>
  <c r="A6962" i="1"/>
  <c r="B6962" i="1"/>
  <c r="A6963" i="1"/>
  <c r="A6964" i="1"/>
  <c r="A6965" i="1"/>
  <c r="A6966" i="1"/>
  <c r="B6966" i="1"/>
  <c r="A6967" i="1"/>
  <c r="A6968" i="1"/>
  <c r="A6969" i="1"/>
  <c r="A6970" i="1"/>
  <c r="B6970" i="1"/>
  <c r="A6971" i="1"/>
  <c r="B6971" i="1"/>
  <c r="A6972" i="1"/>
  <c r="B6972" i="1"/>
  <c r="A6973" i="1"/>
  <c r="B6973" i="1"/>
  <c r="A6974" i="1"/>
  <c r="B6974" i="1"/>
  <c r="A6975" i="1"/>
  <c r="B6975" i="1"/>
  <c r="A6976" i="1"/>
  <c r="B6976" i="1"/>
  <c r="A6977" i="1"/>
  <c r="B6977" i="1"/>
  <c r="A6978" i="1"/>
  <c r="B6978" i="1"/>
  <c r="A6979" i="1"/>
  <c r="A6980" i="1"/>
  <c r="B6980" i="1"/>
  <c r="A6981" i="1"/>
  <c r="B6981" i="1"/>
  <c r="A6982" i="1"/>
  <c r="B6982" i="1"/>
  <c r="A6983" i="1"/>
  <c r="A6984" i="1"/>
  <c r="B6984" i="1"/>
  <c r="A6985" i="1"/>
  <c r="B6985" i="1"/>
  <c r="A6986" i="1"/>
  <c r="B6986" i="1"/>
  <c r="A6987" i="1"/>
  <c r="B6987" i="1"/>
  <c r="A6988" i="1"/>
  <c r="A6989" i="1"/>
  <c r="B6989" i="1"/>
  <c r="A6990" i="1"/>
  <c r="A6991" i="1"/>
  <c r="B6991" i="1"/>
  <c r="A6992" i="1"/>
  <c r="B6992" i="1"/>
  <c r="A6993" i="1"/>
  <c r="B6993" i="1"/>
  <c r="A6994" i="1"/>
  <c r="A6995" i="1"/>
  <c r="B6995" i="1"/>
  <c r="A6996" i="1"/>
  <c r="B6996" i="1"/>
  <c r="A6997" i="1"/>
  <c r="B6997" i="1"/>
  <c r="A6998" i="1"/>
  <c r="B6998" i="1"/>
  <c r="A6999" i="1"/>
  <c r="B6999" i="1"/>
  <c r="A7000" i="1"/>
  <c r="A7001" i="1"/>
  <c r="B7001" i="1"/>
  <c r="A7002" i="1"/>
  <c r="B7002" i="1"/>
  <c r="A7003" i="1"/>
  <c r="A7004" i="1"/>
  <c r="B7004" i="1"/>
  <c r="A7005" i="1"/>
  <c r="B7005" i="1"/>
  <c r="A7006" i="1"/>
  <c r="B7006" i="1"/>
  <c r="A7007" i="1"/>
  <c r="B7007" i="1"/>
  <c r="A7008" i="1"/>
  <c r="B7008" i="1"/>
  <c r="A7009" i="1"/>
  <c r="B7009" i="1"/>
  <c r="A7010" i="1"/>
  <c r="A7011" i="1"/>
  <c r="B7011" i="1"/>
  <c r="A7012" i="1"/>
  <c r="B7012" i="1"/>
  <c r="A7013" i="1"/>
  <c r="B7013" i="1"/>
  <c r="A7014" i="1"/>
  <c r="B7014" i="1"/>
  <c r="A7015" i="1"/>
  <c r="B7015" i="1"/>
  <c r="A7016" i="1"/>
  <c r="A7017" i="1"/>
  <c r="B7017" i="1"/>
  <c r="A7018" i="1"/>
  <c r="B7018" i="1"/>
  <c r="A7019" i="1"/>
  <c r="B7019" i="1"/>
  <c r="A7020" i="1"/>
  <c r="B7020" i="1"/>
  <c r="A7021" i="1"/>
  <c r="B7021" i="1"/>
  <c r="A7022" i="1"/>
  <c r="B7022" i="1"/>
  <c r="A7023" i="1"/>
  <c r="B7023" i="1"/>
  <c r="A7024" i="1"/>
  <c r="B7024" i="1"/>
  <c r="A7025" i="1"/>
  <c r="B7025" i="1"/>
  <c r="A7026" i="1"/>
  <c r="B7026" i="1"/>
  <c r="A7027" i="1"/>
  <c r="B7027" i="1"/>
  <c r="A7028" i="1"/>
  <c r="B7028" i="1"/>
  <c r="A7029" i="1"/>
  <c r="B7029" i="1"/>
  <c r="A7030" i="1"/>
  <c r="B7030" i="1"/>
  <c r="A7031" i="1"/>
  <c r="B7031" i="1"/>
  <c r="A7032" i="1"/>
  <c r="B7032" i="1"/>
  <c r="A7033" i="1"/>
  <c r="B7033" i="1"/>
  <c r="A7034" i="1"/>
  <c r="B7034" i="1"/>
  <c r="A7035" i="1"/>
  <c r="B7035" i="1"/>
  <c r="A7036" i="1"/>
  <c r="B7036" i="1"/>
  <c r="A7037" i="1"/>
  <c r="A7038" i="1"/>
  <c r="B7038" i="1"/>
  <c r="A7039" i="1"/>
  <c r="B7039" i="1"/>
  <c r="A7040" i="1"/>
  <c r="B7040" i="1"/>
  <c r="A7041" i="1"/>
  <c r="B7041" i="1"/>
  <c r="A7042" i="1"/>
  <c r="A7043" i="1"/>
  <c r="B7043" i="1"/>
  <c r="A7044" i="1"/>
  <c r="B7044" i="1"/>
  <c r="A7045" i="1"/>
  <c r="B7045" i="1"/>
  <c r="A7046" i="1"/>
  <c r="B7046" i="1"/>
  <c r="A7047" i="1"/>
  <c r="B7047" i="1"/>
  <c r="A7048" i="1"/>
  <c r="B7048" i="1"/>
  <c r="A7049" i="1"/>
  <c r="B7049" i="1"/>
  <c r="A7050" i="1"/>
  <c r="B7050" i="1"/>
  <c r="A7051" i="1"/>
  <c r="B7051" i="1"/>
  <c r="A7052" i="1"/>
  <c r="B7052" i="1"/>
  <c r="A7053" i="1"/>
  <c r="A7054" i="1"/>
  <c r="B7054" i="1"/>
  <c r="A7055" i="1"/>
  <c r="B7055" i="1"/>
  <c r="A7056" i="1"/>
  <c r="A7057" i="1"/>
  <c r="B7057" i="1"/>
  <c r="A7058" i="1"/>
  <c r="B7058" i="1"/>
  <c r="A7059" i="1"/>
  <c r="A7060" i="1"/>
  <c r="B7060" i="1"/>
  <c r="A7061" i="1"/>
  <c r="B7061" i="1"/>
  <c r="A7062" i="1"/>
  <c r="B7062" i="1"/>
  <c r="A7063" i="1"/>
  <c r="A7064" i="1"/>
  <c r="B7064" i="1"/>
  <c r="A7065" i="1"/>
  <c r="B7065" i="1"/>
  <c r="A7066" i="1"/>
  <c r="B7066" i="1"/>
  <c r="A7067" i="1"/>
  <c r="B7067" i="1"/>
  <c r="A7068" i="1"/>
  <c r="B7068" i="1"/>
  <c r="A7069" i="1"/>
  <c r="B7069" i="1"/>
  <c r="A7070" i="1"/>
  <c r="B7070" i="1"/>
  <c r="A7071" i="1"/>
  <c r="B7071" i="1"/>
  <c r="A7072" i="1"/>
  <c r="A7073" i="1"/>
  <c r="B7073" i="1"/>
  <c r="A7074" i="1"/>
  <c r="B7074" i="1"/>
  <c r="A7075" i="1"/>
  <c r="B7075" i="1"/>
  <c r="A7076" i="1"/>
  <c r="A7077" i="1"/>
  <c r="A7078" i="1"/>
  <c r="B7078" i="1"/>
  <c r="A7079" i="1"/>
  <c r="B7079" i="1"/>
  <c r="A7080" i="1"/>
  <c r="B7080" i="1"/>
  <c r="A7081" i="1"/>
  <c r="B7081" i="1"/>
  <c r="A7082" i="1"/>
  <c r="B7082" i="1"/>
  <c r="A7083" i="1"/>
  <c r="B7083" i="1"/>
  <c r="A7084" i="1"/>
  <c r="B7084" i="1"/>
  <c r="A7085" i="1"/>
  <c r="A7086" i="1"/>
  <c r="B7086" i="1"/>
  <c r="A7087" i="1"/>
  <c r="B7087" i="1"/>
  <c r="A7088" i="1"/>
  <c r="A7089" i="1"/>
  <c r="B7089" i="1"/>
  <c r="A7090" i="1"/>
  <c r="B7090" i="1"/>
  <c r="A7091" i="1"/>
  <c r="A7092" i="1"/>
  <c r="B7092" i="1"/>
  <c r="A7093" i="1"/>
  <c r="B7093" i="1"/>
  <c r="A7094" i="1"/>
  <c r="B7094" i="1"/>
  <c r="A7095" i="1"/>
  <c r="B7095" i="1"/>
  <c r="A7096" i="1"/>
  <c r="B7096" i="1"/>
  <c r="A7097" i="1"/>
  <c r="A7098" i="1"/>
  <c r="B7098" i="1"/>
  <c r="A7099" i="1"/>
  <c r="A7100" i="1"/>
  <c r="B7100" i="1"/>
  <c r="A7101" i="1"/>
  <c r="B7101" i="1"/>
  <c r="A7102" i="1"/>
  <c r="B7102" i="1"/>
  <c r="A7103" i="1"/>
  <c r="B7103" i="1"/>
  <c r="A7104" i="1"/>
  <c r="B7104" i="1"/>
  <c r="A7105" i="1"/>
  <c r="A7106" i="1"/>
  <c r="A7107" i="1"/>
  <c r="A7108" i="1"/>
  <c r="A7109" i="1"/>
  <c r="A7110" i="1"/>
  <c r="A7111" i="1"/>
  <c r="A7112" i="1"/>
  <c r="A7113" i="1"/>
  <c r="B7113" i="1"/>
  <c r="A7114" i="1"/>
  <c r="B7114" i="1"/>
  <c r="A7115" i="1"/>
  <c r="B7115" i="1"/>
  <c r="A7116" i="1"/>
  <c r="B7116" i="1"/>
  <c r="A7117" i="1"/>
  <c r="B7117" i="1"/>
  <c r="A7118" i="1"/>
  <c r="B7118" i="1"/>
  <c r="A7119" i="1"/>
  <c r="B7119" i="1"/>
  <c r="A7120" i="1"/>
  <c r="B7120" i="1"/>
  <c r="A7121" i="1"/>
  <c r="B7121" i="1"/>
  <c r="A7122" i="1"/>
  <c r="B7122" i="1"/>
  <c r="A7123" i="1"/>
  <c r="B7123" i="1"/>
  <c r="A7124" i="1"/>
  <c r="B7124" i="1"/>
  <c r="A7125" i="1"/>
  <c r="A7126" i="1"/>
  <c r="B7126" i="1"/>
  <c r="A7127" i="1"/>
  <c r="A7128" i="1"/>
  <c r="B7128" i="1"/>
  <c r="A7129" i="1"/>
  <c r="B7129" i="1"/>
  <c r="A7130" i="1"/>
  <c r="A7131" i="1"/>
  <c r="B7131" i="1"/>
  <c r="A7132" i="1"/>
  <c r="B7132" i="1"/>
  <c r="A7133" i="1"/>
  <c r="B7133" i="1"/>
  <c r="A7134" i="1"/>
  <c r="B7134" i="1"/>
  <c r="A7135" i="1"/>
  <c r="B7135" i="1"/>
  <c r="A7136" i="1"/>
  <c r="B7136" i="1"/>
  <c r="A7137" i="1"/>
  <c r="B7137" i="1"/>
  <c r="A7138" i="1"/>
  <c r="B7138" i="1"/>
  <c r="A7139" i="1"/>
  <c r="B7139" i="1"/>
  <c r="A7140" i="1"/>
  <c r="B7140" i="1"/>
  <c r="A7141" i="1"/>
  <c r="B7141" i="1"/>
  <c r="A7142" i="1"/>
  <c r="B7142" i="1"/>
  <c r="A7143" i="1"/>
  <c r="B7143" i="1"/>
  <c r="A7144" i="1"/>
  <c r="B7144" i="1"/>
  <c r="A7145" i="1"/>
  <c r="B7145" i="1"/>
  <c r="A7146" i="1"/>
  <c r="B7146" i="1"/>
  <c r="A7147" i="1"/>
  <c r="B7147" i="1"/>
  <c r="A7148" i="1"/>
  <c r="B7148" i="1"/>
  <c r="A7149" i="1"/>
  <c r="B7149" i="1"/>
  <c r="A7150" i="1"/>
  <c r="B7150" i="1"/>
  <c r="A7151" i="1"/>
  <c r="A7152" i="1"/>
  <c r="B7152" i="1"/>
  <c r="A7153" i="1"/>
  <c r="B7153" i="1"/>
  <c r="A7154" i="1"/>
  <c r="B7154" i="1"/>
  <c r="A7155" i="1"/>
  <c r="A7156" i="1"/>
  <c r="B7156" i="1"/>
  <c r="A7157" i="1"/>
  <c r="B7157" i="1"/>
  <c r="A7158" i="1"/>
  <c r="B7158" i="1"/>
  <c r="A7159" i="1"/>
  <c r="B7159" i="1"/>
  <c r="A7160" i="1"/>
  <c r="B7160" i="1"/>
  <c r="A7161" i="1"/>
  <c r="B7161" i="1"/>
  <c r="A7162" i="1"/>
  <c r="B7162" i="1"/>
  <c r="A7163" i="1"/>
  <c r="B7163" i="1"/>
  <c r="A7164" i="1"/>
  <c r="A7165" i="1"/>
  <c r="B7165" i="1"/>
  <c r="A7166" i="1"/>
  <c r="A7167" i="1"/>
  <c r="B7167" i="1"/>
  <c r="A7168" i="1"/>
  <c r="B7168" i="1"/>
  <c r="A7169" i="1"/>
  <c r="B7169" i="1"/>
  <c r="A7170" i="1"/>
  <c r="B7170" i="1"/>
  <c r="A7171" i="1"/>
  <c r="B7171" i="1"/>
  <c r="A7172" i="1"/>
  <c r="B7172" i="1"/>
  <c r="A7173" i="1"/>
  <c r="B7173" i="1"/>
  <c r="A7174" i="1"/>
  <c r="B7174" i="1"/>
  <c r="A7175" i="1"/>
  <c r="B7175" i="1"/>
  <c r="A7176" i="1"/>
  <c r="B7176" i="1"/>
  <c r="A7177" i="1"/>
  <c r="A7178" i="1"/>
  <c r="B7178" i="1"/>
  <c r="A7179" i="1"/>
  <c r="A7180" i="1"/>
  <c r="B7180" i="1"/>
  <c r="A7181" i="1"/>
  <c r="B7181" i="1"/>
  <c r="A7182" i="1"/>
  <c r="A7183" i="1"/>
  <c r="A7184" i="1"/>
  <c r="B7184" i="1"/>
  <c r="A7185" i="1"/>
  <c r="A7186" i="1"/>
  <c r="B7186" i="1"/>
  <c r="A7187" i="1"/>
  <c r="A7188" i="1"/>
  <c r="B7188" i="1"/>
  <c r="A7189" i="1"/>
  <c r="B7189" i="1"/>
  <c r="A7190" i="1"/>
  <c r="B7190" i="1"/>
  <c r="A7191" i="1"/>
  <c r="B7191" i="1"/>
  <c r="A7192" i="1"/>
  <c r="B7192" i="1"/>
  <c r="A7193" i="1"/>
  <c r="B7193" i="1"/>
  <c r="A7194" i="1"/>
  <c r="B7194" i="1"/>
  <c r="A7195" i="1"/>
  <c r="B7195" i="1"/>
  <c r="A7196" i="1"/>
  <c r="B7196" i="1"/>
  <c r="A7197" i="1"/>
  <c r="A7198" i="1"/>
  <c r="A7199" i="1"/>
  <c r="A7200" i="1"/>
  <c r="B7200" i="1"/>
  <c r="A7201" i="1"/>
  <c r="B7201" i="1"/>
  <c r="A7202" i="1"/>
  <c r="A7203" i="1"/>
  <c r="B7203" i="1"/>
  <c r="A7204" i="1"/>
  <c r="A7205" i="1"/>
  <c r="A7206" i="1"/>
  <c r="B7206" i="1"/>
  <c r="A7207" i="1"/>
  <c r="B7207" i="1"/>
  <c r="A7208" i="1"/>
  <c r="B7208" i="1"/>
  <c r="A7209" i="1"/>
  <c r="A7210" i="1"/>
  <c r="B7210" i="1"/>
  <c r="A7211" i="1"/>
  <c r="B7211" i="1"/>
  <c r="A7212" i="1"/>
  <c r="B7212" i="1"/>
  <c r="A7213" i="1"/>
  <c r="B7213" i="1"/>
  <c r="A7214" i="1"/>
  <c r="B7214" i="1"/>
  <c r="A7215" i="1"/>
  <c r="B7215" i="1"/>
  <c r="A7216" i="1"/>
  <c r="B7216" i="1"/>
  <c r="A7217" i="1"/>
  <c r="B7217" i="1"/>
  <c r="A7218" i="1"/>
  <c r="B7218" i="1"/>
  <c r="A7219" i="1"/>
  <c r="B7219" i="1"/>
  <c r="A7220" i="1"/>
  <c r="B7220" i="1"/>
  <c r="A7221" i="1"/>
  <c r="B7221" i="1"/>
  <c r="A7222" i="1"/>
  <c r="B7222" i="1"/>
  <c r="A7223" i="1"/>
  <c r="B7223" i="1"/>
  <c r="A7224" i="1"/>
  <c r="B7224" i="1"/>
  <c r="A7225" i="1"/>
  <c r="B7225" i="1"/>
  <c r="A7226" i="1"/>
  <c r="B7226" i="1"/>
  <c r="A7227" i="1"/>
  <c r="B7227" i="1"/>
  <c r="A7228" i="1"/>
  <c r="B7228" i="1"/>
  <c r="A7229" i="1"/>
  <c r="A7230" i="1"/>
  <c r="A7231" i="1"/>
  <c r="A7232" i="1"/>
  <c r="A7233" i="1"/>
  <c r="A7234" i="1"/>
  <c r="A7235" i="1"/>
  <c r="A7236" i="1"/>
  <c r="A7237" i="1"/>
  <c r="A7238" i="1"/>
  <c r="B7238" i="1"/>
  <c r="A7239" i="1"/>
  <c r="B7239" i="1"/>
  <c r="A7240" i="1"/>
  <c r="B7240" i="1"/>
  <c r="A7241" i="1"/>
  <c r="B7241" i="1"/>
  <c r="A7242" i="1"/>
  <c r="B7242" i="1"/>
  <c r="A7243" i="1"/>
  <c r="A7244" i="1"/>
  <c r="B7244" i="1"/>
  <c r="A7245" i="1"/>
  <c r="B7245" i="1"/>
  <c r="A7246" i="1"/>
  <c r="B7246" i="1"/>
  <c r="A7247" i="1"/>
  <c r="B7247" i="1"/>
  <c r="A7248" i="1"/>
  <c r="B7248" i="1"/>
  <c r="A7249" i="1"/>
  <c r="B7249" i="1"/>
  <c r="A7250" i="1"/>
  <c r="B7250" i="1"/>
  <c r="A7251" i="1"/>
  <c r="B7251" i="1"/>
  <c r="A7252" i="1"/>
  <c r="B7252" i="1"/>
  <c r="A7253" i="1"/>
  <c r="B7253" i="1"/>
  <c r="A7254" i="1"/>
  <c r="A7255" i="1"/>
  <c r="B7255" i="1"/>
  <c r="A7256" i="1"/>
  <c r="B7256" i="1"/>
  <c r="A7257" i="1"/>
  <c r="A7258" i="1"/>
  <c r="B7258" i="1"/>
  <c r="A7259" i="1"/>
  <c r="B7259" i="1"/>
  <c r="A7260" i="1"/>
  <c r="B7260" i="1"/>
  <c r="A7261" i="1"/>
  <c r="B7261" i="1"/>
  <c r="A7262" i="1"/>
  <c r="A7263" i="1"/>
  <c r="B7263" i="1"/>
  <c r="A7264" i="1"/>
  <c r="B7264" i="1"/>
  <c r="A7265" i="1"/>
  <c r="B7265" i="1"/>
  <c r="A7266" i="1"/>
  <c r="A7267" i="1"/>
  <c r="B7267" i="1"/>
  <c r="A7268" i="1"/>
  <c r="B7268" i="1"/>
  <c r="A7269" i="1"/>
  <c r="B7269" i="1"/>
  <c r="A7270" i="1"/>
  <c r="B7270" i="1"/>
  <c r="A7271" i="1"/>
  <c r="A7272" i="1"/>
  <c r="A7273" i="1"/>
  <c r="B7273" i="1"/>
  <c r="A7274" i="1"/>
  <c r="B7274" i="1"/>
  <c r="A7275" i="1"/>
  <c r="B7275" i="1"/>
  <c r="A7276" i="1"/>
  <c r="A7277" i="1"/>
  <c r="B7277" i="1"/>
  <c r="A7278" i="1"/>
  <c r="B7278" i="1"/>
  <c r="A7279" i="1"/>
  <c r="B7279" i="1"/>
  <c r="A7280" i="1"/>
  <c r="A7281" i="1"/>
  <c r="A7282" i="1"/>
  <c r="A7283" i="1"/>
  <c r="A7284" i="1"/>
  <c r="B7284" i="1"/>
  <c r="A7285" i="1"/>
  <c r="A7286" i="1"/>
  <c r="A7287" i="1"/>
  <c r="B7287" i="1"/>
  <c r="A7288" i="1"/>
  <c r="B7288" i="1"/>
  <c r="A7289" i="1"/>
  <c r="B7289" i="1"/>
  <c r="A7290" i="1"/>
  <c r="B7290" i="1"/>
  <c r="A7291" i="1"/>
  <c r="A7292" i="1"/>
  <c r="B7292" i="1"/>
  <c r="A7293" i="1"/>
  <c r="B7293" i="1"/>
  <c r="A7294" i="1"/>
  <c r="B7294" i="1"/>
  <c r="A7295" i="1"/>
  <c r="B7295" i="1"/>
  <c r="A7296" i="1"/>
  <c r="A7297" i="1"/>
  <c r="B7297" i="1"/>
  <c r="A7298" i="1"/>
  <c r="A7299" i="1"/>
  <c r="A7300" i="1"/>
  <c r="A7301" i="1"/>
  <c r="B7301" i="1"/>
  <c r="A7302" i="1"/>
  <c r="B7302" i="1"/>
  <c r="A7303" i="1"/>
  <c r="B7303" i="1"/>
  <c r="A7304" i="1"/>
  <c r="B7304" i="1"/>
  <c r="A7305" i="1"/>
  <c r="B7305" i="1"/>
  <c r="A7306" i="1"/>
  <c r="B7306" i="1"/>
  <c r="A7307" i="1"/>
  <c r="B7307" i="1"/>
  <c r="A7308" i="1"/>
  <c r="B7308" i="1"/>
  <c r="A7309" i="1"/>
  <c r="B7309" i="1"/>
  <c r="A7310" i="1"/>
  <c r="B7310" i="1"/>
  <c r="A7311" i="1"/>
  <c r="B7311" i="1"/>
  <c r="A7312" i="1"/>
  <c r="B7312" i="1"/>
  <c r="A7313" i="1"/>
  <c r="B7313" i="1"/>
  <c r="A7314" i="1"/>
  <c r="A7315" i="1"/>
  <c r="B7315" i="1"/>
  <c r="A7316" i="1"/>
  <c r="B7316" i="1"/>
  <c r="A7317" i="1"/>
  <c r="B7317" i="1"/>
  <c r="A7318" i="1"/>
  <c r="A7319" i="1"/>
  <c r="A7320" i="1"/>
  <c r="A7321" i="1"/>
  <c r="A7322" i="1"/>
  <c r="B7322" i="1"/>
  <c r="A7323" i="1"/>
  <c r="B7323" i="1"/>
  <c r="A7324" i="1"/>
  <c r="A7325" i="1"/>
  <c r="B7325" i="1"/>
  <c r="A7326" i="1"/>
  <c r="A7327" i="1"/>
  <c r="A7328" i="1"/>
  <c r="A7329" i="1"/>
  <c r="A7330" i="1"/>
  <c r="B7330" i="1"/>
  <c r="A7331" i="1"/>
  <c r="B7331" i="1"/>
  <c r="A7332" i="1"/>
  <c r="B7332" i="1"/>
  <c r="A7333" i="1"/>
  <c r="B7333" i="1"/>
  <c r="A7334" i="1"/>
  <c r="B7334" i="1"/>
  <c r="A7335" i="1"/>
  <c r="B7335" i="1"/>
  <c r="A7336" i="1"/>
  <c r="B7336" i="1"/>
  <c r="A7337" i="1"/>
  <c r="B7337" i="1"/>
  <c r="A7338" i="1"/>
  <c r="B7338" i="1"/>
  <c r="A7339" i="1"/>
  <c r="B7339" i="1"/>
  <c r="A7340" i="1"/>
  <c r="B7340" i="1"/>
  <c r="A7341" i="1"/>
  <c r="B7341" i="1"/>
  <c r="A7342" i="1"/>
  <c r="B7342" i="1"/>
  <c r="A7343" i="1"/>
  <c r="A7344" i="1"/>
  <c r="B7344" i="1"/>
  <c r="A7345" i="1"/>
  <c r="B7345" i="1"/>
  <c r="A7346" i="1"/>
  <c r="B7346" i="1"/>
  <c r="A7347" i="1"/>
  <c r="B7347" i="1"/>
  <c r="A7348" i="1"/>
  <c r="A7349" i="1"/>
  <c r="B7349" i="1"/>
  <c r="A7350" i="1"/>
  <c r="B7350" i="1"/>
  <c r="A7351" i="1"/>
  <c r="B7351" i="1"/>
  <c r="A7352" i="1"/>
  <c r="B7352" i="1"/>
  <c r="A7353" i="1"/>
  <c r="B7353" i="1"/>
  <c r="A7354" i="1"/>
  <c r="B7354" i="1"/>
  <c r="A7355" i="1"/>
  <c r="B7355" i="1"/>
  <c r="A7356" i="1"/>
  <c r="B7356" i="1"/>
  <c r="A7357" i="1"/>
  <c r="B7357" i="1"/>
  <c r="A7358" i="1"/>
  <c r="B7358" i="1"/>
  <c r="A7359" i="1"/>
  <c r="A7360" i="1"/>
  <c r="A7361" i="1"/>
  <c r="B7361" i="1"/>
  <c r="A7362" i="1"/>
  <c r="B7362" i="1"/>
  <c r="A7363" i="1"/>
  <c r="A7364" i="1"/>
  <c r="B7364" i="1"/>
  <c r="A7365" i="1"/>
  <c r="B7365" i="1"/>
  <c r="A7366" i="1"/>
  <c r="A7367" i="1"/>
  <c r="B7367" i="1"/>
  <c r="A7368" i="1"/>
  <c r="B7368" i="1"/>
  <c r="A7369" i="1"/>
  <c r="B7369" i="1"/>
  <c r="A7370" i="1"/>
  <c r="B7370" i="1"/>
  <c r="A7371" i="1"/>
  <c r="A7372" i="1"/>
  <c r="A7373" i="1"/>
  <c r="B7373" i="1"/>
  <c r="A7374" i="1"/>
  <c r="B7374" i="1"/>
  <c r="A7375" i="1"/>
  <c r="A7376" i="1"/>
  <c r="B7376" i="1"/>
  <c r="A7377" i="1"/>
  <c r="B7377" i="1"/>
  <c r="A7378" i="1"/>
  <c r="B7378" i="1"/>
  <c r="A7379" i="1"/>
  <c r="B7379" i="1"/>
  <c r="A7380" i="1"/>
  <c r="B7380" i="1"/>
  <c r="A7381" i="1"/>
  <c r="A7382" i="1"/>
  <c r="B7382" i="1"/>
  <c r="A7383" i="1"/>
  <c r="B7383" i="1"/>
  <c r="A7384" i="1"/>
  <c r="B7384" i="1"/>
  <c r="A7385" i="1"/>
  <c r="B7385" i="1"/>
  <c r="A7386" i="1"/>
  <c r="A7387" i="1"/>
  <c r="B7387" i="1"/>
  <c r="A7388" i="1"/>
  <c r="B7388" i="1"/>
  <c r="A7389" i="1"/>
  <c r="B7389" i="1"/>
  <c r="A7390" i="1"/>
  <c r="B7390" i="1"/>
  <c r="A7391" i="1"/>
  <c r="B7391" i="1"/>
  <c r="A7392" i="1"/>
  <c r="B7392" i="1"/>
  <c r="A7393" i="1"/>
  <c r="B7393" i="1"/>
  <c r="A7394" i="1"/>
  <c r="B7394" i="1"/>
  <c r="A7395" i="1"/>
  <c r="A7396" i="1"/>
  <c r="A7397" i="1"/>
  <c r="A7398" i="1"/>
  <c r="B7398" i="1"/>
  <c r="A7399" i="1"/>
  <c r="B7399" i="1"/>
  <c r="A7400" i="1"/>
  <c r="B7400" i="1"/>
  <c r="A7401" i="1"/>
  <c r="B7401" i="1"/>
  <c r="A7402" i="1"/>
  <c r="B7402" i="1"/>
  <c r="A7403" i="1"/>
  <c r="B7403" i="1"/>
  <c r="A7404" i="1"/>
  <c r="B7404" i="1"/>
  <c r="A7405" i="1"/>
  <c r="B7405" i="1"/>
  <c r="A7406" i="1"/>
  <c r="B7406" i="1"/>
  <c r="A7407" i="1"/>
  <c r="B7407" i="1"/>
  <c r="A7408" i="1"/>
  <c r="B7408" i="1"/>
  <c r="A7409" i="1"/>
  <c r="B7409" i="1"/>
  <c r="A7410" i="1"/>
  <c r="B7410" i="1"/>
  <c r="A7411" i="1"/>
  <c r="B7411" i="1"/>
  <c r="A7412" i="1"/>
  <c r="A7413" i="1"/>
  <c r="B7413" i="1"/>
  <c r="A7414" i="1"/>
  <c r="B7414" i="1"/>
  <c r="A7415" i="1"/>
  <c r="B7415" i="1"/>
  <c r="A7416" i="1"/>
  <c r="A7417" i="1"/>
  <c r="B7417" i="1"/>
  <c r="A7418" i="1"/>
  <c r="B7418" i="1"/>
  <c r="A7419" i="1"/>
  <c r="B7419" i="1"/>
  <c r="A7420" i="1"/>
  <c r="B7420" i="1"/>
  <c r="A7421" i="1"/>
  <c r="B7421" i="1"/>
  <c r="A7422" i="1"/>
  <c r="A7423" i="1"/>
  <c r="B7423" i="1"/>
  <c r="A7424" i="1"/>
  <c r="B7424" i="1"/>
  <c r="A7425" i="1"/>
  <c r="B7425" i="1"/>
  <c r="A7426" i="1"/>
  <c r="A7427" i="1"/>
  <c r="B7427" i="1"/>
  <c r="A7428" i="1"/>
  <c r="B7428" i="1"/>
  <c r="A7429" i="1"/>
  <c r="A7430" i="1"/>
  <c r="A7431" i="1"/>
  <c r="B7431" i="1"/>
  <c r="A7432" i="1"/>
  <c r="A7433" i="1"/>
  <c r="A7434" i="1"/>
  <c r="B7434" i="1"/>
  <c r="A7435" i="1"/>
  <c r="B7435" i="1"/>
  <c r="A7436" i="1"/>
  <c r="A7437" i="1"/>
  <c r="B7437" i="1"/>
  <c r="A7438" i="1"/>
  <c r="A7439" i="1"/>
  <c r="B7439" i="1"/>
  <c r="A7440" i="1"/>
  <c r="B7440" i="1"/>
  <c r="A7441" i="1"/>
  <c r="B7441" i="1"/>
  <c r="A7442" i="1"/>
  <c r="B7442" i="1"/>
  <c r="A7443" i="1"/>
  <c r="B7443" i="1"/>
  <c r="A7444" i="1"/>
  <c r="B7444" i="1"/>
  <c r="A7445" i="1"/>
  <c r="B7445" i="1"/>
  <c r="A7446" i="1"/>
  <c r="A7447" i="1"/>
  <c r="A7448" i="1"/>
  <c r="B7448" i="1"/>
  <c r="A7449" i="1"/>
  <c r="B7449" i="1"/>
  <c r="A7450" i="1"/>
  <c r="B7450" i="1"/>
  <c r="A7451" i="1"/>
  <c r="A7452" i="1"/>
  <c r="A7453" i="1"/>
  <c r="B7453" i="1"/>
  <c r="A7454" i="1"/>
  <c r="A7455" i="1"/>
  <c r="B7455" i="1"/>
  <c r="A7456" i="1"/>
  <c r="B7456" i="1"/>
  <c r="A7457" i="1"/>
  <c r="B7457" i="1"/>
  <c r="A7458" i="1"/>
  <c r="B7458" i="1"/>
  <c r="A7459" i="1"/>
  <c r="A7460" i="1"/>
  <c r="A7461" i="1"/>
  <c r="B7461" i="1"/>
  <c r="A7462" i="1"/>
  <c r="A7463" i="1"/>
  <c r="B7463" i="1"/>
  <c r="A7464" i="1"/>
  <c r="B7464" i="1"/>
  <c r="A7465" i="1"/>
  <c r="B7465" i="1"/>
  <c r="A7466" i="1"/>
  <c r="B7466" i="1"/>
  <c r="A7467" i="1"/>
  <c r="B7467" i="1"/>
  <c r="A7468" i="1"/>
  <c r="B7468" i="1"/>
  <c r="A7469" i="1"/>
  <c r="B7469" i="1"/>
  <c r="A7470" i="1"/>
  <c r="A7471" i="1"/>
  <c r="B7471" i="1"/>
  <c r="A7472" i="1"/>
  <c r="B7472" i="1"/>
  <c r="A7473" i="1"/>
  <c r="B7473" i="1"/>
  <c r="A7474" i="1"/>
  <c r="B7474" i="1"/>
  <c r="A7475" i="1"/>
  <c r="B7475" i="1"/>
  <c r="A7476" i="1"/>
  <c r="B7476" i="1"/>
  <c r="A7477" i="1"/>
  <c r="B7477" i="1"/>
  <c r="A7478" i="1"/>
  <c r="A7479" i="1"/>
  <c r="B7479" i="1"/>
  <c r="A7480" i="1"/>
  <c r="A7481" i="1"/>
  <c r="A7482" i="1"/>
  <c r="B7482" i="1"/>
  <c r="A7483" i="1"/>
  <c r="A7484" i="1"/>
  <c r="A7485" i="1"/>
  <c r="A7486" i="1"/>
  <c r="B7486" i="1"/>
  <c r="A7487" i="1"/>
  <c r="A7488" i="1"/>
  <c r="A7489" i="1"/>
  <c r="A7490" i="1"/>
  <c r="B7490" i="1"/>
  <c r="A7491" i="1"/>
  <c r="B7491" i="1"/>
  <c r="A7492" i="1"/>
  <c r="A7493" i="1"/>
  <c r="A7494" i="1"/>
  <c r="B7494" i="1"/>
  <c r="A7495" i="1"/>
  <c r="B7495" i="1"/>
  <c r="A7496" i="1"/>
  <c r="B7496" i="1"/>
  <c r="A7497" i="1"/>
  <c r="A7498" i="1"/>
  <c r="B7498" i="1"/>
  <c r="A7499" i="1"/>
  <c r="A7500" i="1"/>
  <c r="A7501" i="1"/>
  <c r="A7502" i="1"/>
  <c r="A7503" i="1"/>
  <c r="B7503" i="1"/>
  <c r="A7504" i="1"/>
  <c r="B7504" i="1"/>
  <c r="A7505" i="1"/>
  <c r="B7505" i="1"/>
  <c r="A7506" i="1"/>
  <c r="B7506" i="1"/>
  <c r="A7507" i="1"/>
  <c r="B7507" i="1"/>
  <c r="A7508" i="1"/>
  <c r="B7508" i="1"/>
  <c r="A7509" i="1"/>
  <c r="B7509" i="1"/>
  <c r="A7510" i="1"/>
  <c r="B7510" i="1"/>
  <c r="A7511" i="1"/>
  <c r="A7512" i="1"/>
  <c r="A7513" i="1"/>
  <c r="B7513" i="1"/>
  <c r="A7514" i="1"/>
  <c r="B7514" i="1"/>
  <c r="A7515" i="1"/>
  <c r="A7516" i="1"/>
  <c r="B7516" i="1"/>
  <c r="A7517" i="1"/>
  <c r="B7517" i="1"/>
  <c r="A7518" i="1"/>
  <c r="B7518" i="1"/>
  <c r="A7519" i="1"/>
  <c r="B7519" i="1"/>
  <c r="A7520" i="1"/>
  <c r="B7520" i="1"/>
  <c r="A7521" i="1"/>
  <c r="B7521" i="1"/>
  <c r="A7522" i="1"/>
  <c r="A7523" i="1"/>
  <c r="A7524" i="1"/>
  <c r="B7524" i="1"/>
  <c r="A7525" i="1"/>
  <c r="B7525" i="1"/>
  <c r="A7526" i="1"/>
  <c r="B7526" i="1"/>
  <c r="A7527" i="1"/>
  <c r="B7527" i="1"/>
  <c r="A7528" i="1"/>
  <c r="B7528" i="1"/>
  <c r="A7529" i="1"/>
  <c r="B7529" i="1"/>
  <c r="A7530" i="1"/>
  <c r="A7531" i="1"/>
  <c r="A7532" i="1"/>
  <c r="B7532" i="1"/>
  <c r="A7533" i="1"/>
  <c r="B7533" i="1"/>
  <c r="A7534" i="1"/>
  <c r="B7534" i="1"/>
  <c r="A7535" i="1"/>
  <c r="A7536" i="1"/>
  <c r="B7536" i="1"/>
  <c r="A7537" i="1"/>
  <c r="A7538" i="1"/>
  <c r="B7538" i="1"/>
  <c r="A7539" i="1"/>
  <c r="B7539" i="1"/>
  <c r="A7540" i="1"/>
  <c r="B7540" i="1"/>
  <c r="A7541" i="1"/>
  <c r="B7541" i="1"/>
  <c r="A7542" i="1"/>
  <c r="B7542" i="1"/>
  <c r="A7543" i="1"/>
  <c r="B7543" i="1"/>
  <c r="A7544" i="1"/>
  <c r="B7544" i="1"/>
  <c r="A7545" i="1"/>
  <c r="B7545" i="1"/>
  <c r="A7546" i="1"/>
  <c r="B7546" i="1"/>
  <c r="A7547" i="1"/>
  <c r="A7548" i="1"/>
  <c r="B7548" i="1"/>
  <c r="A7549" i="1"/>
  <c r="B7549" i="1"/>
  <c r="A7550" i="1"/>
  <c r="B7550" i="1"/>
  <c r="A7551" i="1"/>
  <c r="B7551" i="1"/>
  <c r="A7552" i="1"/>
  <c r="B7552" i="1"/>
  <c r="A7553" i="1"/>
  <c r="A7554" i="1"/>
  <c r="B7554" i="1"/>
  <c r="A7555" i="1"/>
  <c r="B7555" i="1"/>
  <c r="A7556" i="1"/>
  <c r="A7557" i="1"/>
  <c r="B7557" i="1"/>
  <c r="A7558" i="1"/>
  <c r="B7558" i="1"/>
  <c r="A7559" i="1"/>
  <c r="B7559" i="1"/>
  <c r="A7560" i="1"/>
  <c r="A7561" i="1"/>
  <c r="A7562" i="1"/>
  <c r="B7562" i="1"/>
  <c r="A7563" i="1"/>
  <c r="B7563" i="1"/>
  <c r="A7564" i="1"/>
  <c r="B7564" i="1"/>
  <c r="A7565" i="1"/>
  <c r="B7565" i="1"/>
  <c r="A7566" i="1"/>
  <c r="B7566" i="1"/>
  <c r="A7567" i="1"/>
  <c r="A7568" i="1"/>
  <c r="B7568" i="1"/>
  <c r="A7569" i="1"/>
  <c r="A7570" i="1"/>
  <c r="A7571" i="1"/>
  <c r="B7571" i="1"/>
  <c r="A7572" i="1"/>
  <c r="A7573" i="1"/>
  <c r="B7573" i="1"/>
  <c r="A7574" i="1"/>
  <c r="B7574" i="1"/>
  <c r="A7575" i="1"/>
  <c r="A7576" i="1"/>
  <c r="B7576" i="1"/>
  <c r="A7577" i="1"/>
  <c r="B7577" i="1"/>
  <c r="A7578" i="1"/>
  <c r="B7578" i="1"/>
  <c r="A7579" i="1"/>
  <c r="B7579" i="1"/>
  <c r="A7580" i="1"/>
  <c r="B7580" i="1"/>
  <c r="A7581" i="1"/>
  <c r="B7581" i="1"/>
  <c r="A7582" i="1"/>
  <c r="B7582" i="1"/>
  <c r="A7583" i="1"/>
  <c r="B7583" i="1"/>
  <c r="A7584" i="1"/>
  <c r="B7584" i="1"/>
  <c r="A7585" i="1"/>
  <c r="A7586" i="1"/>
  <c r="B7586" i="1"/>
  <c r="A7587" i="1"/>
  <c r="B7587" i="1"/>
  <c r="A7588" i="1"/>
  <c r="B7588" i="1"/>
  <c r="A7589" i="1"/>
  <c r="B7589" i="1"/>
  <c r="A7590" i="1"/>
  <c r="B7590" i="1"/>
  <c r="A7591" i="1"/>
  <c r="B7591" i="1"/>
  <c r="A7592" i="1"/>
  <c r="B7592" i="1"/>
  <c r="A7593" i="1"/>
  <c r="B7593" i="1"/>
  <c r="A7594" i="1"/>
  <c r="B7594" i="1"/>
  <c r="A7595" i="1"/>
  <c r="B7595" i="1"/>
  <c r="A7596" i="1"/>
  <c r="B7596" i="1"/>
  <c r="A7597" i="1"/>
  <c r="B7597" i="1"/>
  <c r="A7598" i="1"/>
  <c r="B7598" i="1"/>
  <c r="A7599" i="1"/>
  <c r="B7599" i="1"/>
  <c r="A7600" i="1"/>
  <c r="B7600" i="1"/>
  <c r="A7601" i="1"/>
  <c r="B7601" i="1"/>
  <c r="A7602" i="1"/>
  <c r="B7602" i="1"/>
  <c r="A7603" i="1"/>
  <c r="B7603" i="1"/>
  <c r="A7604" i="1"/>
  <c r="A7605" i="1"/>
  <c r="B7605" i="1"/>
  <c r="A7606" i="1"/>
  <c r="B7606" i="1"/>
  <c r="A7607" i="1"/>
  <c r="A7608" i="1"/>
  <c r="B7608" i="1"/>
  <c r="A7609" i="1"/>
  <c r="B7609" i="1"/>
  <c r="A7610" i="1"/>
  <c r="B7610" i="1"/>
  <c r="A7611" i="1"/>
  <c r="B7611" i="1"/>
  <c r="A7612" i="1"/>
  <c r="B7612" i="1"/>
  <c r="A7613" i="1"/>
  <c r="B7613" i="1"/>
  <c r="A7614" i="1"/>
  <c r="B7614" i="1"/>
  <c r="A7615" i="1"/>
  <c r="B7615" i="1"/>
  <c r="A7616" i="1"/>
  <c r="B7616" i="1"/>
  <c r="A7617" i="1"/>
  <c r="A7618" i="1"/>
  <c r="B7618" i="1"/>
  <c r="A7619" i="1"/>
  <c r="B7619" i="1"/>
  <c r="A7620" i="1"/>
  <c r="A7621" i="1"/>
  <c r="B7621" i="1"/>
  <c r="A7622" i="1"/>
  <c r="B7622" i="1"/>
  <c r="A7623" i="1"/>
  <c r="B7623" i="1"/>
  <c r="A7624" i="1"/>
  <c r="A7625" i="1"/>
  <c r="B7625" i="1"/>
  <c r="A7626" i="1"/>
  <c r="A7627" i="1"/>
  <c r="B7627" i="1"/>
  <c r="A7628" i="1"/>
  <c r="B7628" i="1"/>
  <c r="A7629" i="1"/>
  <c r="B7629" i="1"/>
  <c r="A7630" i="1"/>
  <c r="B7630" i="1"/>
  <c r="A7631" i="1"/>
  <c r="B7631" i="1"/>
  <c r="A7632" i="1"/>
  <c r="B7632" i="1"/>
  <c r="A7633" i="1"/>
  <c r="B7633" i="1"/>
  <c r="A7634" i="1"/>
  <c r="B7634" i="1"/>
  <c r="A7635" i="1"/>
  <c r="B7635" i="1"/>
  <c r="A7636" i="1"/>
  <c r="A7637" i="1"/>
  <c r="B7637" i="1"/>
  <c r="A7638" i="1"/>
  <c r="B7638" i="1"/>
  <c r="A7639" i="1"/>
  <c r="A7640" i="1"/>
  <c r="B7640" i="1"/>
  <c r="A7641" i="1"/>
  <c r="B7641" i="1"/>
  <c r="A7642" i="1"/>
  <c r="B7642" i="1"/>
  <c r="A7643" i="1"/>
  <c r="B7643" i="1"/>
  <c r="A7644" i="1"/>
  <c r="B7644" i="1"/>
  <c r="A7645" i="1"/>
  <c r="A7646" i="1"/>
  <c r="A7647" i="1"/>
  <c r="B7647" i="1"/>
  <c r="A7648" i="1"/>
  <c r="B7648" i="1"/>
  <c r="A7649" i="1"/>
  <c r="B7649" i="1"/>
  <c r="A7650" i="1"/>
  <c r="B7650" i="1"/>
  <c r="A7651" i="1"/>
  <c r="B7651" i="1"/>
  <c r="A7652" i="1"/>
  <c r="B7652" i="1"/>
  <c r="A7653" i="1"/>
  <c r="A7654" i="1"/>
  <c r="B7654" i="1"/>
  <c r="A7655" i="1"/>
  <c r="B7655" i="1"/>
  <c r="A7656" i="1"/>
  <c r="B7656" i="1"/>
  <c r="A7657" i="1"/>
  <c r="B7657" i="1"/>
  <c r="A7658" i="1"/>
  <c r="A7659" i="1"/>
  <c r="B7659" i="1"/>
  <c r="A7660" i="1"/>
  <c r="B7660" i="1"/>
  <c r="A7661" i="1"/>
  <c r="B7661" i="1"/>
  <c r="A7662" i="1"/>
  <c r="B7662" i="1"/>
  <c r="A7663" i="1"/>
  <c r="B7663" i="1"/>
  <c r="A7664" i="1"/>
  <c r="B7664" i="1"/>
  <c r="A7665" i="1"/>
  <c r="B7665" i="1"/>
  <c r="A7666" i="1"/>
  <c r="B7666" i="1"/>
  <c r="A7667" i="1"/>
  <c r="B7667" i="1"/>
  <c r="A7668" i="1"/>
  <c r="B7668" i="1"/>
  <c r="A7669" i="1"/>
  <c r="A7670" i="1"/>
  <c r="A7671" i="1"/>
  <c r="A7672" i="1"/>
  <c r="A7673" i="1"/>
  <c r="B7673" i="1"/>
  <c r="A7674" i="1"/>
  <c r="B7674" i="1"/>
  <c r="A7675" i="1"/>
  <c r="B7675" i="1"/>
  <c r="A7676" i="1"/>
  <c r="A7677" i="1"/>
  <c r="B7677" i="1"/>
  <c r="A7678" i="1"/>
  <c r="A7679" i="1"/>
  <c r="A7680" i="1"/>
  <c r="B7680" i="1"/>
  <c r="A7681" i="1"/>
  <c r="A7682" i="1"/>
  <c r="B7682" i="1"/>
  <c r="A7683" i="1"/>
  <c r="B7683" i="1"/>
  <c r="A7684" i="1"/>
  <c r="B7684" i="1"/>
  <c r="A7685" i="1"/>
  <c r="B7685" i="1"/>
  <c r="A7686" i="1"/>
  <c r="B7686" i="1"/>
  <c r="A7687" i="1"/>
  <c r="B7687" i="1"/>
  <c r="A7688" i="1"/>
  <c r="B7688" i="1"/>
  <c r="A7689" i="1"/>
  <c r="B7689" i="1"/>
  <c r="A7690" i="1"/>
  <c r="B7690" i="1"/>
  <c r="A7691" i="1"/>
  <c r="A7692" i="1"/>
  <c r="B7692" i="1"/>
  <c r="A7693" i="1"/>
  <c r="B7693" i="1"/>
  <c r="A7694" i="1"/>
  <c r="B7694" i="1"/>
  <c r="A7695" i="1"/>
  <c r="A7696" i="1"/>
  <c r="B7696" i="1"/>
  <c r="A7697" i="1"/>
  <c r="B7697" i="1"/>
  <c r="A7698" i="1"/>
  <c r="B7698" i="1"/>
  <c r="A7699" i="1"/>
  <c r="B7699" i="1"/>
  <c r="A7700" i="1"/>
  <c r="A7701" i="1"/>
  <c r="B7701" i="1"/>
  <c r="A7702" i="1"/>
  <c r="A7703" i="1"/>
  <c r="B7703" i="1"/>
  <c r="A7704" i="1"/>
  <c r="B7704" i="1"/>
  <c r="A7705" i="1"/>
  <c r="B7705" i="1"/>
  <c r="A7706" i="1"/>
  <c r="B7706" i="1"/>
  <c r="A7707" i="1"/>
  <c r="B7707" i="1"/>
  <c r="A7708" i="1"/>
  <c r="B7708" i="1"/>
  <c r="A7709" i="1"/>
  <c r="B7709" i="1"/>
  <c r="A7710" i="1"/>
  <c r="B7710" i="1"/>
  <c r="A7711" i="1"/>
  <c r="B7711" i="1"/>
  <c r="A7712" i="1"/>
  <c r="A7713" i="1"/>
  <c r="A7714" i="1"/>
  <c r="A7715" i="1"/>
  <c r="B7715" i="1"/>
  <c r="A7716" i="1"/>
  <c r="B7716" i="1"/>
  <c r="A7717" i="1"/>
  <c r="B7717" i="1"/>
  <c r="A7718" i="1"/>
  <c r="B7718" i="1"/>
  <c r="A7719" i="1"/>
  <c r="B7719" i="1"/>
  <c r="A7720" i="1"/>
  <c r="B7720" i="1"/>
  <c r="A7721" i="1"/>
  <c r="B7721" i="1"/>
  <c r="A7722" i="1"/>
  <c r="B7722" i="1"/>
  <c r="A7723" i="1"/>
  <c r="B7723" i="1"/>
  <c r="A7724" i="1"/>
  <c r="B7724" i="1"/>
  <c r="A7725" i="1"/>
  <c r="B7725" i="1"/>
  <c r="A7726" i="1"/>
  <c r="B7726" i="1"/>
  <c r="A7727" i="1"/>
  <c r="A7728" i="1"/>
  <c r="A7729" i="1"/>
  <c r="A7730" i="1"/>
  <c r="B7730" i="1"/>
  <c r="A7731" i="1"/>
  <c r="B7731" i="1"/>
  <c r="A7732" i="1"/>
  <c r="B7732" i="1"/>
  <c r="A7733" i="1"/>
  <c r="B7733" i="1"/>
  <c r="A7734" i="1"/>
  <c r="B7734" i="1"/>
  <c r="A7735" i="1"/>
  <c r="A7736" i="1"/>
  <c r="B7736" i="1"/>
  <c r="A7737" i="1"/>
  <c r="B7737" i="1"/>
  <c r="A7738" i="1"/>
  <c r="B7738" i="1"/>
  <c r="A7739" i="1"/>
  <c r="B7739" i="1"/>
  <c r="A7740" i="1"/>
  <c r="B7740" i="1"/>
  <c r="A7741" i="1"/>
  <c r="B7741" i="1"/>
  <c r="A7742" i="1"/>
  <c r="B7742" i="1"/>
  <c r="A7743" i="1"/>
  <c r="B7743" i="1"/>
  <c r="A7744" i="1"/>
  <c r="B7744" i="1"/>
  <c r="A7745" i="1"/>
  <c r="B7745" i="1"/>
  <c r="A7746" i="1"/>
  <c r="B7746" i="1"/>
  <c r="A7747" i="1"/>
  <c r="B7747" i="1"/>
  <c r="A7748" i="1"/>
  <c r="B7748" i="1"/>
  <c r="A7749" i="1"/>
  <c r="B7749" i="1"/>
  <c r="A7750" i="1"/>
  <c r="B7750" i="1"/>
  <c r="A7751" i="1"/>
  <c r="A7752" i="1"/>
  <c r="A7753" i="1"/>
  <c r="A7754" i="1"/>
  <c r="A7755" i="1"/>
  <c r="B7755" i="1"/>
  <c r="A7756" i="1"/>
  <c r="B7756" i="1"/>
  <c r="A7757" i="1"/>
  <c r="B7757" i="1"/>
  <c r="A7758" i="1"/>
  <c r="B7758" i="1"/>
  <c r="A7759" i="1"/>
  <c r="B7759" i="1"/>
  <c r="A7760" i="1"/>
  <c r="B7760" i="1"/>
  <c r="A7761" i="1"/>
  <c r="A7762" i="1"/>
  <c r="B7762" i="1"/>
  <c r="A7763" i="1"/>
  <c r="B7763" i="1"/>
  <c r="A7764" i="1"/>
  <c r="B7764" i="1"/>
  <c r="A7765" i="1"/>
  <c r="B7765" i="1"/>
  <c r="A7766" i="1"/>
  <c r="B7766" i="1"/>
  <c r="A7767" i="1"/>
  <c r="A7768" i="1"/>
  <c r="B7768" i="1"/>
  <c r="A7769" i="1"/>
  <c r="A7770" i="1"/>
  <c r="A7771" i="1"/>
  <c r="A7772" i="1"/>
  <c r="B7772" i="1"/>
  <c r="A7773" i="1"/>
  <c r="B7773" i="1"/>
  <c r="A7774" i="1"/>
  <c r="B7774" i="1"/>
  <c r="A7775" i="1"/>
  <c r="B7775" i="1"/>
  <c r="A7776" i="1"/>
  <c r="B7776" i="1"/>
  <c r="A7777" i="1"/>
  <c r="B7777" i="1"/>
  <c r="A7778" i="1"/>
  <c r="B7778" i="1"/>
  <c r="A7779" i="1"/>
  <c r="B7779" i="1"/>
  <c r="A7780" i="1"/>
  <c r="B7780" i="1"/>
  <c r="A7781" i="1"/>
  <c r="B7781" i="1"/>
  <c r="A7782" i="1"/>
  <c r="B7782" i="1"/>
  <c r="A7783" i="1"/>
  <c r="B7783" i="1"/>
  <c r="A7784" i="1"/>
  <c r="B7784" i="1"/>
  <c r="A7785" i="1"/>
  <c r="B7785" i="1"/>
  <c r="A7786" i="1"/>
  <c r="B7786" i="1"/>
  <c r="A7787" i="1"/>
  <c r="B7787" i="1"/>
  <c r="A7788" i="1"/>
  <c r="B7788" i="1"/>
  <c r="A7789" i="1"/>
  <c r="B7789" i="1"/>
  <c r="A7790" i="1"/>
  <c r="A7791" i="1"/>
  <c r="B7791" i="1"/>
  <c r="A7792" i="1"/>
  <c r="B7792" i="1"/>
  <c r="A7793" i="1"/>
  <c r="B7793" i="1"/>
  <c r="A7794" i="1"/>
  <c r="B7794" i="1"/>
  <c r="A7795" i="1"/>
  <c r="A7796" i="1"/>
  <c r="B7796" i="1"/>
  <c r="A7797" i="1"/>
  <c r="B7797" i="1"/>
  <c r="A7798" i="1"/>
  <c r="B7798" i="1"/>
  <c r="A7799" i="1"/>
  <c r="B7799" i="1"/>
  <c r="A7800" i="1"/>
  <c r="B7800" i="1"/>
  <c r="A7801" i="1"/>
  <c r="B7801" i="1"/>
  <c r="A7802" i="1"/>
  <c r="B7802" i="1"/>
  <c r="A7803" i="1"/>
  <c r="B7803" i="1"/>
  <c r="A7804" i="1"/>
  <c r="B7804" i="1"/>
  <c r="A7805" i="1"/>
  <c r="B7805" i="1"/>
  <c r="A7806" i="1"/>
  <c r="B7806" i="1"/>
  <c r="A7807" i="1"/>
  <c r="B7807" i="1"/>
  <c r="A7808" i="1"/>
  <c r="B7808" i="1"/>
  <c r="A7809" i="1"/>
  <c r="B7809" i="1"/>
  <c r="A7810" i="1"/>
  <c r="B7810" i="1"/>
  <c r="A7811" i="1"/>
  <c r="B7811" i="1"/>
  <c r="A7812" i="1"/>
  <c r="B7812" i="1"/>
  <c r="A7813" i="1"/>
  <c r="A7814" i="1"/>
  <c r="A7815" i="1"/>
  <c r="B7815" i="1"/>
  <c r="A7816" i="1"/>
  <c r="B7816" i="1"/>
  <c r="A7817" i="1"/>
  <c r="A7818" i="1"/>
  <c r="B7818" i="1"/>
  <c r="A7819" i="1"/>
  <c r="A7820" i="1"/>
  <c r="A7821" i="1"/>
  <c r="B7821" i="1"/>
  <c r="A7822" i="1"/>
  <c r="A7823" i="1"/>
  <c r="B7823" i="1"/>
  <c r="A7824" i="1"/>
  <c r="B7824" i="1"/>
  <c r="A7825" i="1"/>
  <c r="B7825" i="1"/>
  <c r="A7826" i="1"/>
  <c r="A7827" i="1"/>
  <c r="B7827" i="1"/>
  <c r="A7828" i="1"/>
  <c r="B7828" i="1"/>
  <c r="A7829" i="1"/>
  <c r="B7829" i="1"/>
  <c r="A7830" i="1"/>
  <c r="B7830" i="1"/>
  <c r="A7831" i="1"/>
  <c r="B7831" i="1"/>
  <c r="A7832" i="1"/>
  <c r="B7832" i="1"/>
  <c r="A7833" i="1"/>
  <c r="B7833" i="1"/>
  <c r="A7834" i="1"/>
  <c r="B7834" i="1"/>
  <c r="A7835" i="1"/>
  <c r="B7835" i="1"/>
  <c r="A7836" i="1"/>
  <c r="B7836" i="1"/>
  <c r="A7837" i="1"/>
  <c r="B7837" i="1"/>
  <c r="A7838" i="1"/>
  <c r="B7838" i="1"/>
  <c r="A7839" i="1"/>
  <c r="B7839" i="1"/>
  <c r="A7840" i="1"/>
  <c r="A7841" i="1"/>
  <c r="A7842" i="1"/>
  <c r="B7842" i="1"/>
  <c r="A7843" i="1"/>
  <c r="B7843" i="1"/>
  <c r="A7844" i="1"/>
  <c r="A7845" i="1"/>
  <c r="B7845" i="1"/>
  <c r="A7846" i="1"/>
  <c r="B7846" i="1"/>
  <c r="A7847" i="1"/>
  <c r="B7847" i="1"/>
  <c r="A7848" i="1"/>
  <c r="B7848" i="1"/>
  <c r="A7849" i="1"/>
  <c r="B7849" i="1"/>
  <c r="A7850" i="1"/>
  <c r="B7850" i="1"/>
  <c r="A7851" i="1"/>
  <c r="B7851" i="1"/>
  <c r="A7852" i="1"/>
  <c r="B7852" i="1"/>
  <c r="A7853" i="1"/>
  <c r="A7854" i="1"/>
  <c r="A7855" i="1"/>
  <c r="A7856" i="1"/>
  <c r="A7857" i="1"/>
  <c r="A7858" i="1"/>
  <c r="B7858" i="1"/>
  <c r="A7859" i="1"/>
  <c r="B7859" i="1"/>
  <c r="A7860" i="1"/>
  <c r="A7861" i="1"/>
  <c r="B7861" i="1"/>
  <c r="A7862" i="1"/>
  <c r="B7862" i="1"/>
  <c r="A7863" i="1"/>
  <c r="B7863" i="1"/>
  <c r="A7864" i="1"/>
  <c r="B7864" i="1"/>
  <c r="A7865" i="1"/>
  <c r="B7865" i="1"/>
  <c r="A7866" i="1"/>
  <c r="B7866" i="1"/>
  <c r="A7867" i="1"/>
  <c r="B7867" i="1"/>
  <c r="A7868" i="1"/>
  <c r="B7868" i="1"/>
  <c r="A7869" i="1"/>
  <c r="B7869" i="1"/>
  <c r="A7870" i="1"/>
  <c r="B7870" i="1"/>
  <c r="A7871" i="1"/>
  <c r="B7871" i="1"/>
  <c r="A7872" i="1"/>
  <c r="B7872" i="1"/>
  <c r="A7873" i="1"/>
  <c r="B7873" i="1"/>
  <c r="A7874" i="1"/>
  <c r="B7874" i="1"/>
  <c r="A7875" i="1"/>
  <c r="B7875" i="1"/>
  <c r="A7876" i="1"/>
  <c r="B7876" i="1"/>
  <c r="A7877" i="1"/>
  <c r="B7877" i="1"/>
  <c r="A7878" i="1"/>
  <c r="B7878" i="1"/>
  <c r="A7879" i="1"/>
  <c r="A7880" i="1"/>
  <c r="B7880" i="1"/>
  <c r="A7881" i="1"/>
  <c r="B7881" i="1"/>
  <c r="A7882" i="1"/>
  <c r="B7882" i="1"/>
  <c r="A7883" i="1"/>
  <c r="B7883" i="1"/>
  <c r="A7884" i="1"/>
  <c r="B7884" i="1"/>
  <c r="A7885" i="1"/>
  <c r="B7885" i="1"/>
  <c r="A7886" i="1"/>
  <c r="B7886" i="1"/>
  <c r="A7887" i="1"/>
  <c r="A7888" i="1"/>
  <c r="A7889" i="1"/>
  <c r="B7889" i="1"/>
  <c r="A7890" i="1"/>
  <c r="B7890" i="1"/>
  <c r="A7891" i="1"/>
  <c r="A7892" i="1"/>
  <c r="B7892" i="1"/>
  <c r="A7893" i="1"/>
  <c r="B7893" i="1"/>
  <c r="A7894" i="1"/>
  <c r="B7894" i="1"/>
  <c r="A7895" i="1"/>
  <c r="B7895" i="1"/>
  <c r="A7896" i="1"/>
  <c r="B7896" i="1"/>
  <c r="A7897" i="1"/>
  <c r="B7897" i="1"/>
  <c r="A7898" i="1"/>
  <c r="B7898" i="1"/>
  <c r="A7899" i="1"/>
  <c r="B7899" i="1"/>
  <c r="A7900" i="1"/>
  <c r="B7900" i="1"/>
  <c r="A7901" i="1"/>
  <c r="B7901" i="1"/>
  <c r="A7902" i="1"/>
  <c r="B7902" i="1"/>
  <c r="A7903" i="1"/>
  <c r="B7903" i="1"/>
  <c r="A7904" i="1"/>
  <c r="B7904" i="1"/>
  <c r="A7905" i="1"/>
  <c r="B7905" i="1"/>
  <c r="A7906" i="1"/>
  <c r="B7906" i="1"/>
  <c r="A7907" i="1"/>
  <c r="B7907" i="1"/>
  <c r="A7908" i="1"/>
  <c r="A7909" i="1"/>
  <c r="B7909" i="1"/>
  <c r="A7910" i="1"/>
  <c r="B7910" i="1"/>
  <c r="A7911" i="1"/>
  <c r="B7911" i="1"/>
  <c r="A7912" i="1"/>
  <c r="B7912" i="1"/>
  <c r="A7913" i="1"/>
  <c r="B7913" i="1"/>
  <c r="A7914" i="1"/>
  <c r="B7914" i="1"/>
  <c r="A7915" i="1"/>
  <c r="B7915" i="1"/>
  <c r="A7916" i="1"/>
  <c r="B7916" i="1"/>
  <c r="A7917" i="1"/>
  <c r="B7917" i="1"/>
  <c r="A7918" i="1"/>
  <c r="B7918" i="1"/>
  <c r="A7919" i="1"/>
  <c r="B7919" i="1"/>
  <c r="A7920" i="1"/>
  <c r="A7921" i="1"/>
  <c r="B7921" i="1"/>
  <c r="A7922" i="1"/>
  <c r="B7922" i="1"/>
  <c r="A7923" i="1"/>
  <c r="B7923" i="1"/>
  <c r="A7924" i="1"/>
  <c r="B7924" i="1"/>
  <c r="A7925" i="1"/>
  <c r="B7925" i="1"/>
  <c r="A7926" i="1"/>
  <c r="B7926" i="1"/>
  <c r="A7927" i="1"/>
  <c r="B7927" i="1"/>
  <c r="A7928" i="1"/>
  <c r="B7928" i="1"/>
  <c r="A7929" i="1"/>
  <c r="B7929" i="1"/>
  <c r="A7930" i="1"/>
  <c r="B7930" i="1"/>
  <c r="A7931" i="1"/>
  <c r="B7931" i="1"/>
  <c r="A7932" i="1"/>
  <c r="B7932" i="1"/>
  <c r="A7933" i="1"/>
  <c r="B7933" i="1"/>
  <c r="A7934" i="1"/>
  <c r="A7935" i="1"/>
  <c r="A7936" i="1"/>
  <c r="B7936" i="1"/>
  <c r="A7937" i="1"/>
  <c r="A7938" i="1"/>
  <c r="A7939" i="1"/>
  <c r="A7940" i="1"/>
  <c r="B7940" i="1"/>
  <c r="A7941" i="1"/>
  <c r="B7941" i="1"/>
  <c r="A7942" i="1"/>
  <c r="B7942" i="1"/>
  <c r="A7943" i="1"/>
  <c r="B7943" i="1"/>
  <c r="A7944" i="1"/>
  <c r="A7945" i="1"/>
  <c r="B7945" i="1"/>
  <c r="A7946" i="1"/>
  <c r="B7946" i="1"/>
  <c r="A7947" i="1"/>
  <c r="B7947" i="1"/>
  <c r="A7948" i="1"/>
  <c r="B7948" i="1"/>
  <c r="A7949" i="1"/>
  <c r="A7950" i="1"/>
  <c r="A7951" i="1"/>
  <c r="B7951" i="1"/>
  <c r="A7952" i="1"/>
  <c r="B7952" i="1"/>
  <c r="A7953" i="1"/>
  <c r="A7954" i="1"/>
  <c r="A7955" i="1"/>
  <c r="A7956" i="1"/>
  <c r="B7956" i="1"/>
  <c r="A7957" i="1"/>
  <c r="B7957" i="1"/>
  <c r="A7958" i="1"/>
  <c r="B7958" i="1"/>
  <c r="A7959" i="1"/>
  <c r="B7959" i="1"/>
  <c r="A7960" i="1"/>
  <c r="B7960" i="1"/>
  <c r="A7961" i="1"/>
  <c r="A7962" i="1"/>
  <c r="A7963" i="1"/>
  <c r="B7963" i="1"/>
  <c r="A7964" i="1"/>
  <c r="B7964" i="1"/>
  <c r="A7965" i="1"/>
  <c r="B7965" i="1"/>
  <c r="A7966" i="1"/>
  <c r="B7966" i="1"/>
  <c r="A7967" i="1"/>
  <c r="B7967" i="1"/>
  <c r="A7968" i="1"/>
  <c r="B7968" i="1"/>
  <c r="A7969" i="1"/>
  <c r="B7969" i="1"/>
  <c r="A7970" i="1"/>
  <c r="B7970" i="1"/>
  <c r="A7971" i="1"/>
  <c r="B7971" i="1"/>
  <c r="A7972" i="1"/>
  <c r="A7973" i="1"/>
  <c r="A7974" i="1"/>
  <c r="B7974" i="1"/>
  <c r="A7975" i="1"/>
  <c r="B7975" i="1"/>
  <c r="A7976" i="1"/>
  <c r="B7976" i="1"/>
  <c r="A7977" i="1"/>
  <c r="B7977" i="1"/>
  <c r="A7978" i="1"/>
  <c r="A7979" i="1"/>
  <c r="B7979" i="1"/>
  <c r="A7980" i="1"/>
  <c r="A7981" i="1"/>
  <c r="B7981" i="1"/>
  <c r="A7982" i="1"/>
  <c r="B7982" i="1"/>
  <c r="A7983" i="1"/>
  <c r="B7983" i="1"/>
  <c r="A7984" i="1"/>
  <c r="B7984" i="1"/>
  <c r="A7985" i="1"/>
  <c r="A7986" i="1"/>
  <c r="B7986" i="1"/>
  <c r="A7987" i="1"/>
  <c r="B7987" i="1"/>
  <c r="A7988" i="1"/>
  <c r="B7988" i="1"/>
  <c r="A7989" i="1"/>
  <c r="B7989" i="1"/>
  <c r="A7990" i="1"/>
  <c r="A7991" i="1"/>
  <c r="B7991" i="1"/>
  <c r="A7992" i="1"/>
  <c r="A7993" i="1"/>
  <c r="A7994" i="1"/>
  <c r="B7994" i="1"/>
  <c r="A7995" i="1"/>
  <c r="A7996" i="1"/>
  <c r="A7997" i="1"/>
  <c r="A7998" i="1"/>
  <c r="A7999" i="1"/>
  <c r="B7999" i="1"/>
  <c r="A8000" i="1"/>
  <c r="B8000" i="1"/>
  <c r="A8001" i="1"/>
  <c r="B8001" i="1"/>
  <c r="A8002" i="1"/>
  <c r="A8003" i="1"/>
  <c r="A8004" i="1"/>
  <c r="B8004" i="1"/>
  <c r="A8005" i="1"/>
  <c r="B8005" i="1"/>
  <c r="A8006" i="1"/>
  <c r="B8006" i="1"/>
  <c r="A8007" i="1"/>
  <c r="B8007" i="1"/>
  <c r="A8008" i="1"/>
  <c r="B8008" i="1"/>
  <c r="A8009" i="1"/>
  <c r="B8009" i="1"/>
  <c r="A8010" i="1"/>
  <c r="B8010" i="1"/>
  <c r="A8011" i="1"/>
  <c r="B8011" i="1"/>
  <c r="A8012" i="1"/>
  <c r="B8012" i="1"/>
  <c r="A8013" i="1"/>
  <c r="B8013" i="1"/>
  <c r="A8014" i="1"/>
  <c r="B8014" i="1"/>
  <c r="A8015" i="1"/>
  <c r="B8015" i="1"/>
  <c r="A8016" i="1"/>
  <c r="B8016" i="1"/>
  <c r="A8017" i="1"/>
  <c r="B8017" i="1"/>
  <c r="A8018" i="1"/>
  <c r="B8018" i="1"/>
  <c r="A8019" i="1"/>
  <c r="B8019" i="1"/>
  <c r="A8020" i="1"/>
  <c r="B8020" i="1"/>
  <c r="A8021" i="1"/>
  <c r="B8021" i="1"/>
  <c r="A8022" i="1"/>
  <c r="B8022" i="1"/>
  <c r="A8023" i="1"/>
  <c r="B8023" i="1"/>
  <c r="A8024" i="1"/>
  <c r="B8024" i="1"/>
  <c r="A8025" i="1"/>
  <c r="B8025" i="1"/>
  <c r="A8026" i="1"/>
  <c r="B8026" i="1"/>
  <c r="A8027" i="1"/>
  <c r="B8027" i="1"/>
  <c r="A8028" i="1"/>
  <c r="B8028" i="1"/>
  <c r="A8029" i="1"/>
  <c r="B8029" i="1"/>
  <c r="A8030" i="1"/>
  <c r="A8031" i="1"/>
  <c r="B8031" i="1"/>
  <c r="A8032" i="1"/>
  <c r="B8032" i="1"/>
  <c r="A8033" i="1"/>
  <c r="B8033" i="1"/>
  <c r="A8034" i="1"/>
  <c r="B8034" i="1"/>
  <c r="A8035" i="1"/>
  <c r="B8035" i="1"/>
  <c r="A8036" i="1"/>
  <c r="B8036" i="1"/>
  <c r="A8037" i="1"/>
  <c r="A8038" i="1"/>
  <c r="B8038" i="1"/>
  <c r="A8039" i="1"/>
  <c r="A8040" i="1"/>
  <c r="B8040" i="1"/>
  <c r="A8041" i="1"/>
  <c r="B8041" i="1"/>
  <c r="A8042" i="1"/>
  <c r="B8042" i="1"/>
  <c r="A8043" i="1"/>
  <c r="A8044" i="1"/>
  <c r="B8044" i="1"/>
  <c r="A8045" i="1"/>
  <c r="B8045" i="1"/>
  <c r="A8046" i="1"/>
  <c r="B8046" i="1"/>
  <c r="A8047" i="1"/>
  <c r="B8047" i="1"/>
  <c r="A8048" i="1"/>
  <c r="B8048" i="1"/>
  <c r="A8049" i="1"/>
  <c r="B8049" i="1"/>
  <c r="A8050" i="1"/>
  <c r="A8051" i="1"/>
  <c r="B8051" i="1"/>
  <c r="A8052" i="1"/>
  <c r="B8052" i="1"/>
  <c r="A8053" i="1"/>
  <c r="A8054" i="1"/>
  <c r="B8054" i="1"/>
  <c r="A8055" i="1"/>
  <c r="B8055" i="1"/>
  <c r="A8056" i="1"/>
  <c r="B8056" i="1"/>
  <c r="A8057" i="1"/>
  <c r="B8057" i="1"/>
  <c r="A8058" i="1"/>
  <c r="B8058" i="1"/>
  <c r="A8059" i="1"/>
  <c r="A8060" i="1"/>
  <c r="B8060" i="1"/>
  <c r="A8061" i="1"/>
  <c r="B8061" i="1"/>
  <c r="A8062" i="1"/>
  <c r="B8062" i="1"/>
  <c r="A8063" i="1"/>
  <c r="A8064" i="1"/>
  <c r="A8065" i="1"/>
  <c r="A8066" i="1"/>
  <c r="A8067" i="1"/>
  <c r="B8067" i="1"/>
  <c r="A8068" i="1"/>
  <c r="B8068" i="1"/>
  <c r="A8069" i="1"/>
  <c r="A8070" i="1"/>
  <c r="B8070" i="1"/>
  <c r="A8071" i="1"/>
  <c r="A8072" i="1"/>
  <c r="B8072" i="1"/>
  <c r="A8073" i="1"/>
  <c r="A8074" i="1"/>
  <c r="A8075" i="1"/>
  <c r="B8075" i="1"/>
  <c r="A8076" i="1"/>
  <c r="A8077" i="1"/>
  <c r="B8077" i="1"/>
  <c r="A8078" i="1"/>
  <c r="B8078" i="1"/>
  <c r="A8079" i="1"/>
  <c r="B8079" i="1"/>
  <c r="A8080" i="1"/>
  <c r="B8080" i="1"/>
  <c r="A8081" i="1"/>
  <c r="A8082" i="1"/>
  <c r="B8082" i="1"/>
  <c r="A8083" i="1"/>
  <c r="B8083" i="1"/>
  <c r="A8084" i="1"/>
  <c r="A8085" i="1"/>
  <c r="B8085" i="1"/>
  <c r="A8086" i="1"/>
  <c r="B8086" i="1"/>
  <c r="A8087" i="1"/>
  <c r="B8087" i="1"/>
  <c r="A8088" i="1"/>
  <c r="B8088" i="1"/>
  <c r="A8089" i="1"/>
  <c r="B8089" i="1"/>
  <c r="A8090" i="1"/>
  <c r="A8091" i="1"/>
  <c r="B8091" i="1"/>
  <c r="A8092" i="1"/>
  <c r="A8093" i="1"/>
  <c r="B8093" i="1"/>
  <c r="A8094" i="1"/>
  <c r="B8094" i="1"/>
  <c r="A8095" i="1"/>
  <c r="B8095" i="1"/>
  <c r="A8096" i="1"/>
  <c r="B8096" i="1"/>
  <c r="A8097" i="1"/>
  <c r="B8097" i="1"/>
  <c r="A8098" i="1"/>
  <c r="B8098" i="1"/>
  <c r="A8099" i="1"/>
  <c r="B8099" i="1"/>
  <c r="A8100" i="1"/>
  <c r="A8101" i="1"/>
  <c r="A8102" i="1"/>
  <c r="B8102" i="1"/>
  <c r="A8103" i="1"/>
  <c r="A8104" i="1"/>
  <c r="A8105" i="1"/>
  <c r="A8106" i="1"/>
  <c r="B8106" i="1"/>
  <c r="A8107" i="1"/>
  <c r="B8107" i="1"/>
  <c r="A8108" i="1"/>
  <c r="A8109" i="1"/>
  <c r="B8109" i="1"/>
  <c r="A8110" i="1"/>
  <c r="B8110" i="1"/>
  <c r="A8111" i="1"/>
  <c r="B8111" i="1"/>
  <c r="A8112" i="1"/>
  <c r="B8112" i="1"/>
  <c r="A8113" i="1"/>
  <c r="B8113" i="1"/>
  <c r="A8114" i="1"/>
  <c r="A8115" i="1"/>
  <c r="A8116" i="1"/>
  <c r="B8116" i="1"/>
  <c r="A8117" i="1"/>
  <c r="B8117" i="1"/>
  <c r="A8118" i="1"/>
  <c r="B8118" i="1"/>
  <c r="A8119" i="1"/>
  <c r="B8119" i="1"/>
  <c r="A8120" i="1"/>
  <c r="A8121" i="1"/>
  <c r="B8121" i="1"/>
  <c r="A8122" i="1"/>
  <c r="B8122" i="1"/>
  <c r="A8123" i="1"/>
  <c r="B8123" i="1"/>
  <c r="A8124" i="1"/>
  <c r="A8125" i="1"/>
  <c r="B8125" i="1"/>
  <c r="A8126" i="1"/>
  <c r="B8126" i="1"/>
  <c r="A8127" i="1"/>
  <c r="A8128" i="1"/>
  <c r="A8129" i="1"/>
  <c r="B8129" i="1"/>
  <c r="A8130" i="1"/>
  <c r="B8130" i="1"/>
  <c r="A8131" i="1"/>
  <c r="B8131" i="1"/>
  <c r="A8132" i="1"/>
  <c r="B8132" i="1"/>
  <c r="A8133" i="1"/>
  <c r="A8134" i="1"/>
  <c r="B8134" i="1"/>
  <c r="A8135" i="1"/>
  <c r="B8135" i="1"/>
  <c r="A8136" i="1"/>
  <c r="B8136" i="1"/>
  <c r="A8137" i="1"/>
  <c r="B8137" i="1"/>
  <c r="A8138" i="1"/>
  <c r="A8139" i="1"/>
  <c r="B8139" i="1"/>
  <c r="A8140" i="1"/>
  <c r="B8140" i="1"/>
  <c r="A8141" i="1"/>
  <c r="B8141" i="1"/>
  <c r="A8142" i="1"/>
  <c r="B8142" i="1"/>
  <c r="A8143" i="1"/>
  <c r="B8143" i="1"/>
  <c r="A8144" i="1"/>
  <c r="B8144" i="1"/>
  <c r="A8145" i="1"/>
  <c r="B8145" i="1"/>
  <c r="A8146" i="1"/>
  <c r="A8147" i="1"/>
  <c r="B8147" i="1"/>
  <c r="A8148" i="1"/>
  <c r="A8149" i="1"/>
  <c r="B8149" i="1"/>
  <c r="A8150" i="1"/>
  <c r="B8150" i="1"/>
  <c r="A8151" i="1"/>
  <c r="B8151" i="1"/>
  <c r="A8152" i="1"/>
  <c r="A8153" i="1"/>
  <c r="B8153" i="1"/>
  <c r="A8154" i="1"/>
  <c r="A8155" i="1"/>
  <c r="B8155" i="1"/>
  <c r="A8156" i="1"/>
  <c r="B8156" i="1"/>
  <c r="A8157" i="1"/>
  <c r="B8157" i="1"/>
  <c r="A8158" i="1"/>
  <c r="B8158" i="1"/>
  <c r="A8159" i="1"/>
  <c r="B8159" i="1"/>
  <c r="A8160" i="1"/>
  <c r="B8160" i="1"/>
  <c r="A8161" i="1"/>
  <c r="A8162" i="1"/>
  <c r="B8162" i="1"/>
  <c r="A8163" i="1"/>
  <c r="B8163" i="1"/>
  <c r="A8164" i="1"/>
  <c r="A8165" i="1"/>
  <c r="B8165" i="1"/>
  <c r="A8166" i="1"/>
  <c r="B8166" i="1"/>
  <c r="A8167" i="1"/>
  <c r="B8167" i="1"/>
  <c r="A8168" i="1"/>
  <c r="B8168" i="1"/>
  <c r="A8169" i="1"/>
  <c r="A8170" i="1"/>
  <c r="B8170" i="1"/>
  <c r="A8171" i="1"/>
  <c r="B8171" i="1"/>
  <c r="A8172" i="1"/>
  <c r="B8172" i="1"/>
  <c r="A8173" i="1"/>
  <c r="B8173" i="1"/>
  <c r="A8174" i="1"/>
  <c r="B8174" i="1"/>
  <c r="A8175" i="1"/>
  <c r="A8176" i="1"/>
  <c r="B8176" i="1"/>
  <c r="A8177" i="1"/>
  <c r="B8177" i="1"/>
  <c r="A8178" i="1"/>
  <c r="B8178" i="1"/>
  <c r="A8179" i="1"/>
  <c r="A8180" i="1"/>
  <c r="A8181" i="1"/>
  <c r="B8181" i="1"/>
  <c r="A8182" i="1"/>
  <c r="B8182" i="1"/>
  <c r="A8183" i="1"/>
  <c r="B8183" i="1"/>
  <c r="A8184" i="1"/>
  <c r="B8184" i="1"/>
  <c r="A8185" i="1"/>
  <c r="B8185" i="1"/>
  <c r="A8186" i="1"/>
  <c r="B8186" i="1"/>
  <c r="A8187" i="1"/>
  <c r="B8187" i="1"/>
  <c r="A8188" i="1"/>
  <c r="B8188" i="1"/>
  <c r="A8189" i="1"/>
  <c r="A8190" i="1"/>
  <c r="B8190" i="1"/>
  <c r="A8191" i="1"/>
  <c r="B8191" i="1"/>
  <c r="A8192" i="1"/>
  <c r="B8192" i="1"/>
  <c r="A8193" i="1"/>
  <c r="B8193" i="1"/>
  <c r="A8194" i="1"/>
  <c r="B8194" i="1"/>
  <c r="A8195" i="1"/>
  <c r="B8195" i="1"/>
  <c r="A8196" i="1"/>
  <c r="B8196" i="1"/>
  <c r="A8197" i="1"/>
  <c r="B8197" i="1"/>
  <c r="A8198" i="1"/>
  <c r="A8199" i="1"/>
  <c r="B8199" i="1"/>
  <c r="A8200" i="1"/>
  <c r="B8200" i="1"/>
  <c r="A8201" i="1"/>
  <c r="B8201" i="1"/>
  <c r="A8202" i="1"/>
  <c r="B8202" i="1"/>
  <c r="A8203" i="1"/>
  <c r="B8203" i="1"/>
  <c r="A8204" i="1"/>
  <c r="B8204" i="1"/>
  <c r="A8205" i="1"/>
  <c r="A8206" i="1"/>
  <c r="A8207" i="1"/>
  <c r="B8207" i="1"/>
  <c r="A8208" i="1"/>
  <c r="B8208" i="1"/>
  <c r="A8209" i="1"/>
  <c r="B8209" i="1"/>
  <c r="A8210" i="1"/>
  <c r="B8210" i="1"/>
  <c r="A8211" i="1"/>
  <c r="B8211" i="1"/>
  <c r="A8212" i="1"/>
  <c r="B8212" i="1"/>
  <c r="A8213" i="1"/>
  <c r="B8213" i="1"/>
  <c r="A8214" i="1"/>
  <c r="B8214" i="1"/>
  <c r="A8215" i="1"/>
  <c r="B8215" i="1"/>
  <c r="A8216" i="1"/>
  <c r="A8217" i="1"/>
  <c r="B8217" i="1"/>
  <c r="A8218" i="1"/>
  <c r="B8218" i="1"/>
  <c r="A8219" i="1"/>
  <c r="B8219" i="1"/>
  <c r="A8220" i="1"/>
  <c r="B8220" i="1"/>
  <c r="A8221" i="1"/>
  <c r="B8221" i="1"/>
  <c r="A8222" i="1"/>
  <c r="B8222" i="1"/>
  <c r="A8223" i="1"/>
  <c r="B8223" i="1"/>
  <c r="A8224" i="1"/>
  <c r="B8224" i="1"/>
  <c r="A8225" i="1"/>
  <c r="B8225" i="1"/>
  <c r="A8226" i="1"/>
  <c r="B8226" i="1"/>
  <c r="A8227" i="1"/>
  <c r="A8228" i="1"/>
  <c r="B8228" i="1"/>
  <c r="A8229" i="1"/>
  <c r="A8230" i="1"/>
  <c r="A8231" i="1"/>
  <c r="A8232" i="1"/>
  <c r="A8233" i="1"/>
  <c r="A8234" i="1"/>
  <c r="A8235" i="1"/>
  <c r="A8236" i="1"/>
  <c r="B8236" i="1"/>
  <c r="A8237" i="1"/>
  <c r="B8237" i="1"/>
  <c r="A8238" i="1"/>
  <c r="B8238" i="1"/>
  <c r="A8239" i="1"/>
  <c r="B8239" i="1"/>
  <c r="A8240" i="1"/>
  <c r="B8240" i="1"/>
  <c r="A8241" i="1"/>
  <c r="B8241" i="1"/>
  <c r="A8242" i="1"/>
  <c r="B8242" i="1"/>
  <c r="A8243" i="1"/>
  <c r="B8243" i="1"/>
  <c r="A8244" i="1"/>
  <c r="B8244" i="1"/>
  <c r="A8245" i="1"/>
  <c r="B8245" i="1"/>
  <c r="A8246" i="1"/>
  <c r="B8246" i="1"/>
  <c r="A8247" i="1"/>
  <c r="A8248" i="1"/>
  <c r="B8248" i="1"/>
  <c r="A8249" i="1"/>
  <c r="B8249" i="1"/>
  <c r="A8250" i="1"/>
  <c r="B8250" i="1"/>
  <c r="A8251" i="1"/>
  <c r="B8251" i="1"/>
  <c r="A8252" i="1"/>
  <c r="A8253" i="1"/>
  <c r="A8254" i="1"/>
  <c r="B8254" i="1"/>
  <c r="A8255" i="1"/>
  <c r="B8255" i="1"/>
  <c r="A8256" i="1"/>
  <c r="B8256" i="1"/>
  <c r="A8257" i="1"/>
  <c r="A8258" i="1"/>
  <c r="B8258" i="1"/>
  <c r="A8259" i="1"/>
  <c r="B8259" i="1"/>
  <c r="A8260" i="1"/>
  <c r="B8260" i="1"/>
  <c r="A8261" i="1"/>
  <c r="B8261" i="1"/>
  <c r="A8262" i="1"/>
  <c r="B8262" i="1"/>
  <c r="A8263" i="1"/>
  <c r="B8263" i="1"/>
  <c r="A8264" i="1"/>
  <c r="B8264" i="1"/>
  <c r="A8265" i="1"/>
  <c r="B8265" i="1"/>
  <c r="A8266" i="1"/>
  <c r="B8266" i="1"/>
  <c r="A8267" i="1"/>
  <c r="B8267" i="1"/>
  <c r="A8268" i="1"/>
  <c r="B8268" i="1"/>
  <c r="A8269" i="1"/>
  <c r="B8269" i="1"/>
  <c r="A8270" i="1"/>
  <c r="B8270" i="1"/>
  <c r="A8271" i="1"/>
  <c r="B8271" i="1"/>
  <c r="A8272" i="1"/>
  <c r="B8272" i="1"/>
  <c r="A8273" i="1"/>
  <c r="B8273" i="1"/>
  <c r="A8274" i="1"/>
  <c r="B8274" i="1"/>
  <c r="A8275" i="1"/>
  <c r="B8275" i="1"/>
  <c r="A8276" i="1"/>
  <c r="A8277" i="1"/>
  <c r="B8277" i="1"/>
  <c r="A8278" i="1"/>
  <c r="B8278" i="1"/>
  <c r="A8279" i="1"/>
  <c r="B8279" i="1"/>
  <c r="A8280" i="1"/>
  <c r="B8280" i="1"/>
  <c r="A8281" i="1"/>
  <c r="B8281" i="1"/>
  <c r="A8282" i="1"/>
  <c r="B8282" i="1"/>
  <c r="A8283" i="1"/>
  <c r="B8283" i="1"/>
  <c r="A8284" i="1"/>
  <c r="B8284" i="1"/>
  <c r="A8285" i="1"/>
  <c r="B8285" i="1"/>
  <c r="A8286" i="1"/>
  <c r="B8286" i="1"/>
  <c r="A8287" i="1"/>
  <c r="B8287" i="1"/>
  <c r="A8288" i="1"/>
  <c r="B8288" i="1"/>
  <c r="A8289" i="1"/>
  <c r="B8289" i="1"/>
  <c r="A8290" i="1"/>
  <c r="B8290" i="1"/>
  <c r="A8291" i="1"/>
  <c r="B8291" i="1"/>
  <c r="A8292" i="1"/>
  <c r="B8292" i="1"/>
  <c r="A8293" i="1"/>
  <c r="B8293" i="1"/>
  <c r="A8294" i="1"/>
  <c r="B8294" i="1"/>
  <c r="A8295" i="1"/>
  <c r="B8295" i="1"/>
  <c r="A8296" i="1"/>
  <c r="B8296" i="1"/>
  <c r="A8297" i="1"/>
  <c r="B8297" i="1"/>
  <c r="A8298" i="1"/>
  <c r="B8298" i="1"/>
  <c r="A8299" i="1"/>
  <c r="B8299" i="1"/>
  <c r="A8300" i="1"/>
  <c r="B8300" i="1"/>
  <c r="A8301" i="1"/>
  <c r="B8301" i="1"/>
  <c r="A8302" i="1"/>
  <c r="B8302" i="1"/>
  <c r="A8303" i="1"/>
  <c r="B8303" i="1"/>
  <c r="A8304" i="1"/>
  <c r="B8304" i="1"/>
  <c r="A8305" i="1"/>
  <c r="A8306" i="1"/>
  <c r="B8306" i="1"/>
  <c r="A8307" i="1"/>
  <c r="B8307" i="1"/>
  <c r="A8308" i="1"/>
  <c r="B8308" i="1"/>
  <c r="A8309" i="1"/>
  <c r="B8309" i="1"/>
  <c r="A8310" i="1"/>
  <c r="B8310" i="1"/>
  <c r="A8311" i="1"/>
  <c r="B8311" i="1"/>
  <c r="A8312" i="1"/>
  <c r="B8312" i="1"/>
  <c r="A8313" i="1"/>
  <c r="B8313" i="1"/>
  <c r="A8314" i="1"/>
  <c r="B8314" i="1"/>
  <c r="A8315" i="1"/>
  <c r="B8315" i="1"/>
  <c r="A8316" i="1"/>
  <c r="A8317" i="1"/>
  <c r="B8317" i="1"/>
  <c r="A8318" i="1"/>
  <c r="A8319" i="1"/>
  <c r="B8319" i="1"/>
  <c r="A8320" i="1"/>
  <c r="B8320" i="1"/>
  <c r="A8321" i="1"/>
  <c r="A8322" i="1"/>
  <c r="B8322" i="1"/>
  <c r="A8323" i="1"/>
  <c r="B8323" i="1"/>
  <c r="A8324" i="1"/>
  <c r="B8324" i="1"/>
  <c r="A8325" i="1"/>
  <c r="B8325" i="1"/>
  <c r="A8326" i="1"/>
  <c r="B8326" i="1"/>
  <c r="A8327" i="1"/>
  <c r="A8328" i="1"/>
  <c r="B8328" i="1"/>
  <c r="A8329" i="1"/>
  <c r="B8329" i="1"/>
  <c r="A8330" i="1"/>
  <c r="B8330" i="1"/>
  <c r="A8331" i="1"/>
  <c r="B8331" i="1"/>
  <c r="A8332" i="1"/>
  <c r="B8332" i="1"/>
  <c r="A8333" i="1"/>
  <c r="B8333" i="1"/>
  <c r="A8334" i="1"/>
  <c r="B8334" i="1"/>
  <c r="A8335" i="1"/>
  <c r="B8335" i="1"/>
  <c r="A8336" i="1"/>
  <c r="B8336" i="1"/>
  <c r="A8337" i="1"/>
  <c r="B8337" i="1"/>
  <c r="A8338" i="1"/>
  <c r="A8339" i="1"/>
  <c r="A8340" i="1"/>
  <c r="B8340" i="1"/>
  <c r="A8341" i="1"/>
  <c r="B8341" i="1"/>
  <c r="A8342" i="1"/>
  <c r="B8342" i="1"/>
  <c r="A8343" i="1"/>
  <c r="B8343" i="1"/>
  <c r="A8344" i="1"/>
  <c r="A8345" i="1"/>
  <c r="B8345" i="1"/>
  <c r="A8346" i="1"/>
  <c r="B8346" i="1"/>
  <c r="A8347" i="1"/>
  <c r="B8347" i="1"/>
  <c r="A8348" i="1"/>
  <c r="B8348" i="1"/>
  <c r="A8349" i="1"/>
  <c r="B8349" i="1"/>
  <c r="A8350" i="1"/>
  <c r="B8350" i="1"/>
  <c r="A8351" i="1"/>
  <c r="B8351" i="1"/>
  <c r="A8352" i="1"/>
  <c r="A8353" i="1"/>
  <c r="A8354" i="1"/>
  <c r="A8355" i="1"/>
  <c r="A8356" i="1"/>
  <c r="B8356" i="1"/>
  <c r="A8357" i="1"/>
  <c r="B8357" i="1"/>
  <c r="A8358" i="1"/>
  <c r="B8358" i="1"/>
  <c r="A8359" i="1"/>
  <c r="B8359" i="1"/>
  <c r="A8360" i="1"/>
  <c r="B8360" i="1"/>
  <c r="A8361" i="1"/>
  <c r="B8361" i="1"/>
  <c r="A8362" i="1"/>
  <c r="B8362" i="1"/>
  <c r="A8363" i="1"/>
  <c r="A8364" i="1"/>
  <c r="B8364" i="1"/>
  <c r="A8365" i="1"/>
  <c r="B8365" i="1"/>
  <c r="A8366" i="1"/>
  <c r="B8366" i="1"/>
  <c r="A8367" i="1"/>
  <c r="A8368" i="1"/>
  <c r="B8368" i="1"/>
  <c r="A8369" i="1"/>
  <c r="B8369" i="1"/>
  <c r="A8370" i="1"/>
  <c r="B8370" i="1"/>
  <c r="A8371" i="1"/>
  <c r="A8372" i="1"/>
  <c r="B8372" i="1"/>
  <c r="A8373" i="1"/>
  <c r="B8373" i="1"/>
  <c r="A8374" i="1"/>
  <c r="A8375" i="1"/>
  <c r="B8375" i="1"/>
  <c r="A8376" i="1"/>
  <c r="A8377" i="1"/>
  <c r="B8377" i="1"/>
  <c r="A8378" i="1"/>
  <c r="B8378" i="1"/>
  <c r="A8379" i="1"/>
  <c r="B8379" i="1"/>
  <c r="A8380" i="1"/>
  <c r="B8380" i="1"/>
  <c r="A8381" i="1"/>
  <c r="B8381" i="1"/>
  <c r="A8382" i="1"/>
  <c r="A8383" i="1"/>
  <c r="B8383" i="1"/>
  <c r="A8384" i="1"/>
  <c r="B8384" i="1"/>
  <c r="A8385" i="1"/>
  <c r="B8385" i="1"/>
  <c r="A8386" i="1"/>
  <c r="B8386" i="1"/>
  <c r="A8387" i="1"/>
  <c r="A8388" i="1"/>
  <c r="A8389" i="1"/>
  <c r="A8390" i="1"/>
  <c r="B8390" i="1"/>
  <c r="A8391" i="1"/>
  <c r="A8392" i="1"/>
  <c r="A8393" i="1"/>
  <c r="A8394" i="1"/>
  <c r="A8395" i="1"/>
  <c r="A8396" i="1"/>
  <c r="B8396" i="1"/>
  <c r="A8397" i="1"/>
  <c r="B8397" i="1"/>
  <c r="A8398" i="1"/>
  <c r="B8398" i="1"/>
  <c r="A8399" i="1"/>
  <c r="B8399" i="1"/>
  <c r="A8400" i="1"/>
  <c r="A8401" i="1"/>
  <c r="B8401" i="1"/>
  <c r="A8402" i="1"/>
  <c r="A8403" i="1"/>
  <c r="B8403" i="1"/>
  <c r="A8404" i="1"/>
  <c r="A8405" i="1"/>
  <c r="B8405" i="1"/>
  <c r="A8406" i="1"/>
  <c r="B8406" i="1"/>
  <c r="A8407" i="1"/>
  <c r="B8407" i="1"/>
  <c r="A8408" i="1"/>
  <c r="B8408" i="1"/>
  <c r="A8409" i="1"/>
  <c r="B8409" i="1"/>
  <c r="A8410" i="1"/>
  <c r="B8410" i="1"/>
  <c r="A8411" i="1"/>
  <c r="B8411" i="1"/>
  <c r="A8412" i="1"/>
  <c r="B8412" i="1"/>
  <c r="A8413" i="1"/>
  <c r="B8413" i="1"/>
  <c r="A8414" i="1"/>
  <c r="B8414" i="1"/>
  <c r="A8415" i="1"/>
  <c r="B8415" i="1"/>
  <c r="A8416" i="1"/>
  <c r="B8416" i="1"/>
  <c r="A8417" i="1"/>
  <c r="B8417" i="1"/>
  <c r="A8418" i="1"/>
  <c r="B8418" i="1"/>
  <c r="A8419" i="1"/>
  <c r="B8419" i="1"/>
  <c r="A8420" i="1"/>
  <c r="A8421" i="1"/>
  <c r="A8422" i="1"/>
  <c r="B8422" i="1"/>
  <c r="A8423" i="1"/>
  <c r="B8423" i="1"/>
  <c r="A8424" i="1"/>
  <c r="B8424" i="1"/>
  <c r="A8425" i="1"/>
  <c r="B8425" i="1"/>
  <c r="A8426" i="1"/>
  <c r="B8426" i="1"/>
  <c r="A8427" i="1"/>
  <c r="A8428" i="1"/>
  <c r="A8429" i="1"/>
  <c r="B8429" i="1"/>
  <c r="A8430" i="1"/>
  <c r="B8430" i="1"/>
  <c r="A8431" i="1"/>
  <c r="B8431" i="1"/>
  <c r="A8432" i="1"/>
  <c r="B8432" i="1"/>
  <c r="A8433" i="1"/>
  <c r="B8433" i="1"/>
  <c r="A8434" i="1"/>
  <c r="B8434" i="1"/>
  <c r="A8435" i="1"/>
  <c r="A8436" i="1"/>
  <c r="A8437" i="1"/>
  <c r="B8437" i="1"/>
  <c r="A8438" i="1"/>
  <c r="B8438" i="1"/>
  <c r="A8439" i="1"/>
  <c r="B8439" i="1"/>
  <c r="A8440" i="1"/>
  <c r="A8441" i="1"/>
  <c r="B8441" i="1"/>
  <c r="A8442" i="1"/>
  <c r="B8442" i="1"/>
  <c r="A8443" i="1"/>
  <c r="B8443" i="1"/>
  <c r="A8444" i="1"/>
  <c r="A8445" i="1"/>
  <c r="A8446" i="1"/>
  <c r="B8446" i="1"/>
  <c r="A8447" i="1"/>
  <c r="A8448" i="1"/>
  <c r="B8448" i="1"/>
  <c r="A8449" i="1"/>
  <c r="B8449" i="1"/>
  <c r="A8450" i="1"/>
  <c r="B8450" i="1"/>
  <c r="A8451" i="1"/>
  <c r="B8451" i="1"/>
  <c r="A8452" i="1"/>
  <c r="B8452" i="1"/>
  <c r="A8453" i="1"/>
  <c r="A8454" i="1"/>
  <c r="B8454" i="1"/>
  <c r="A8455" i="1"/>
  <c r="B8455" i="1"/>
  <c r="A8456" i="1"/>
  <c r="B8456" i="1"/>
  <c r="A8457" i="1"/>
  <c r="A8458" i="1"/>
  <c r="A8459" i="1"/>
  <c r="A8460" i="1"/>
  <c r="B8460" i="1"/>
  <c r="A8461" i="1"/>
  <c r="B8461" i="1"/>
  <c r="A8462" i="1"/>
  <c r="B8462" i="1"/>
  <c r="A8463" i="1"/>
  <c r="B8463" i="1"/>
  <c r="A8464" i="1"/>
  <c r="B8464" i="1"/>
  <c r="A8465" i="1"/>
  <c r="B8465" i="1"/>
  <c r="A8466" i="1"/>
  <c r="B8466" i="1"/>
  <c r="A8467" i="1"/>
  <c r="B8467" i="1"/>
  <c r="A8468" i="1"/>
  <c r="B8468" i="1"/>
  <c r="A8469" i="1"/>
  <c r="B8469" i="1"/>
  <c r="A8470" i="1"/>
  <c r="B8470" i="1"/>
  <c r="A8471" i="1"/>
  <c r="B8471" i="1"/>
  <c r="A8472" i="1"/>
  <c r="B8472" i="1"/>
  <c r="A8473" i="1"/>
  <c r="B8473" i="1"/>
  <c r="A8474" i="1"/>
  <c r="B8474" i="1"/>
  <c r="A8475" i="1"/>
  <c r="B8475" i="1"/>
  <c r="A8476" i="1"/>
  <c r="B8476" i="1"/>
  <c r="A8477" i="1"/>
  <c r="A8478" i="1"/>
  <c r="A8479" i="1"/>
  <c r="B8479" i="1"/>
  <c r="A8480" i="1"/>
  <c r="B8480" i="1"/>
  <c r="A8481" i="1"/>
  <c r="B8481" i="1"/>
  <c r="A8482" i="1"/>
  <c r="B8482" i="1"/>
  <c r="A8483" i="1"/>
  <c r="A8484" i="1"/>
  <c r="B8484" i="1"/>
  <c r="A8485" i="1"/>
  <c r="B8485" i="1"/>
  <c r="A8486" i="1"/>
  <c r="B8486" i="1"/>
  <c r="A8487" i="1"/>
  <c r="B8487" i="1"/>
  <c r="A8488" i="1"/>
  <c r="A8489" i="1"/>
  <c r="A8490" i="1"/>
  <c r="B8490" i="1"/>
  <c r="A8491" i="1"/>
  <c r="B8491" i="1"/>
  <c r="A8492" i="1"/>
  <c r="B8492" i="1"/>
  <c r="A8493" i="1"/>
  <c r="B8493" i="1"/>
  <c r="A8494" i="1"/>
  <c r="B8494" i="1"/>
  <c r="A8495" i="1"/>
  <c r="B8495" i="1"/>
  <c r="A8496" i="1"/>
  <c r="A8497" i="1"/>
  <c r="B8497" i="1"/>
  <c r="A8498" i="1"/>
  <c r="B8498" i="1"/>
  <c r="A8499" i="1"/>
  <c r="B8499" i="1"/>
  <c r="A8500" i="1"/>
  <c r="B8500" i="1"/>
  <c r="A8501" i="1"/>
  <c r="B8501" i="1"/>
  <c r="A8502" i="1"/>
  <c r="B8502" i="1"/>
  <c r="A8503" i="1"/>
  <c r="B8503" i="1"/>
  <c r="A8504" i="1"/>
  <c r="B8504" i="1"/>
  <c r="A8505" i="1"/>
  <c r="B8505" i="1"/>
  <c r="A8506" i="1"/>
  <c r="A8507" i="1"/>
  <c r="A8508" i="1"/>
  <c r="B8508" i="1"/>
  <c r="A8509" i="1"/>
  <c r="B8509" i="1"/>
  <c r="A8510" i="1"/>
  <c r="B8510" i="1"/>
  <c r="A8511" i="1"/>
  <c r="B8511" i="1"/>
  <c r="A8512" i="1"/>
  <c r="B8512" i="1"/>
  <c r="A8513" i="1"/>
  <c r="B8513" i="1"/>
  <c r="A8514" i="1"/>
  <c r="B8514" i="1"/>
  <c r="A8515" i="1"/>
  <c r="B8515" i="1"/>
  <c r="A8516" i="1"/>
  <c r="B8516" i="1"/>
  <c r="A8517" i="1"/>
  <c r="A8518" i="1"/>
  <c r="A8519" i="1"/>
  <c r="A8520" i="1"/>
  <c r="A8521" i="1"/>
  <c r="A8522" i="1"/>
  <c r="A8523" i="1"/>
  <c r="A8524" i="1"/>
  <c r="A8525" i="1"/>
  <c r="B8525" i="1"/>
  <c r="A8526" i="1"/>
  <c r="A8527" i="1"/>
  <c r="A8528" i="1"/>
  <c r="A8529" i="1"/>
  <c r="B8529" i="1"/>
  <c r="A8530" i="1"/>
  <c r="B8530" i="1"/>
  <c r="A8531" i="1"/>
  <c r="B8531" i="1"/>
  <c r="A8532" i="1"/>
  <c r="B8532" i="1"/>
  <c r="A8533" i="1"/>
  <c r="B8533" i="1"/>
  <c r="A8534" i="1"/>
  <c r="B8534" i="1"/>
  <c r="A8535" i="1"/>
  <c r="B8535" i="1"/>
  <c r="A8536" i="1"/>
  <c r="B8536" i="1"/>
  <c r="A8537" i="1"/>
  <c r="B8537" i="1"/>
  <c r="A8538" i="1"/>
  <c r="B8538" i="1"/>
  <c r="A8539" i="1"/>
  <c r="B8539" i="1"/>
  <c r="A8540" i="1"/>
  <c r="A8541" i="1"/>
  <c r="B8541" i="1"/>
  <c r="A8542" i="1"/>
  <c r="B8542" i="1"/>
  <c r="A8543" i="1"/>
  <c r="B8543" i="1"/>
  <c r="A8544" i="1"/>
  <c r="B8544" i="1"/>
  <c r="A8545" i="1"/>
  <c r="B8545" i="1"/>
  <c r="A8546" i="1"/>
  <c r="A8547" i="1"/>
  <c r="B8547" i="1"/>
  <c r="A8548" i="1"/>
  <c r="B8548" i="1"/>
  <c r="A8549" i="1"/>
  <c r="B8549" i="1"/>
  <c r="A8550" i="1"/>
  <c r="B8550" i="1"/>
  <c r="A8551" i="1"/>
  <c r="B8551" i="1"/>
  <c r="A8552" i="1"/>
  <c r="B8552" i="1"/>
  <c r="A8553" i="1"/>
  <c r="B8553" i="1"/>
  <c r="A8554" i="1"/>
  <c r="B8554" i="1"/>
  <c r="A8555" i="1"/>
  <c r="B8555" i="1"/>
  <c r="A8556" i="1"/>
  <c r="B8556" i="1"/>
  <c r="A8557" i="1"/>
  <c r="B8557" i="1"/>
  <c r="A8558" i="1"/>
  <c r="B8558" i="1"/>
  <c r="A8559" i="1"/>
  <c r="B8559" i="1"/>
  <c r="A8560" i="1"/>
  <c r="B8560" i="1"/>
  <c r="A8561" i="1"/>
  <c r="B8561" i="1"/>
  <c r="A8562" i="1"/>
  <c r="B8562" i="1"/>
  <c r="A8563" i="1"/>
  <c r="B8563" i="1"/>
  <c r="A8564" i="1"/>
  <c r="B8564" i="1"/>
  <c r="A8565" i="1"/>
  <c r="B8565" i="1"/>
  <c r="A8566" i="1"/>
  <c r="B8566" i="1"/>
  <c r="A8567" i="1"/>
  <c r="B8567" i="1"/>
  <c r="A8568" i="1"/>
  <c r="B8568" i="1"/>
  <c r="A8569" i="1"/>
  <c r="B8569" i="1"/>
  <c r="A8570" i="1"/>
  <c r="A8571" i="1"/>
  <c r="B8571" i="1"/>
  <c r="A8572" i="1"/>
  <c r="B8572" i="1"/>
  <c r="A8573" i="1"/>
  <c r="B8573" i="1"/>
  <c r="A8574" i="1"/>
  <c r="A8575" i="1"/>
  <c r="B8575" i="1"/>
  <c r="A8576" i="1"/>
  <c r="B8576" i="1"/>
  <c r="A8577" i="1"/>
  <c r="B8577" i="1"/>
  <c r="A8578" i="1"/>
  <c r="B8578" i="1"/>
  <c r="A8579" i="1"/>
  <c r="A8580" i="1"/>
  <c r="A8581" i="1"/>
  <c r="B8581" i="1"/>
  <c r="A8582" i="1"/>
  <c r="B8582" i="1"/>
  <c r="A8583" i="1"/>
  <c r="B8583" i="1"/>
  <c r="A8584" i="1"/>
  <c r="B8584" i="1"/>
  <c r="A8585" i="1"/>
  <c r="A8586" i="1"/>
  <c r="B8586" i="1"/>
  <c r="A8587" i="1"/>
  <c r="B8587" i="1"/>
  <c r="A8588" i="1"/>
  <c r="B8588" i="1"/>
  <c r="A8589" i="1"/>
  <c r="B8589" i="1"/>
  <c r="A8590" i="1"/>
  <c r="B8590" i="1"/>
  <c r="A8591" i="1"/>
  <c r="A8592" i="1"/>
  <c r="B8592" i="1"/>
  <c r="A8593" i="1"/>
  <c r="A8594" i="1"/>
  <c r="B8594" i="1"/>
  <c r="A8595" i="1"/>
  <c r="B8595" i="1"/>
  <c r="A8596" i="1"/>
  <c r="B8596" i="1"/>
  <c r="A8597" i="1"/>
  <c r="B8597" i="1"/>
  <c r="A8598" i="1"/>
  <c r="B8598" i="1"/>
  <c r="A8599" i="1"/>
  <c r="B8599" i="1"/>
  <c r="A8600" i="1"/>
  <c r="B8600" i="1"/>
  <c r="A8601" i="1"/>
  <c r="B8601" i="1"/>
  <c r="A8602" i="1"/>
  <c r="B8602" i="1"/>
  <c r="A8603" i="1"/>
  <c r="B8603" i="1"/>
  <c r="A8604" i="1"/>
  <c r="B8604" i="1"/>
  <c r="A8605" i="1"/>
  <c r="B8605" i="1"/>
  <c r="A8606" i="1"/>
  <c r="A8607" i="1"/>
  <c r="B8607" i="1"/>
  <c r="A8608" i="1"/>
  <c r="B8608" i="1"/>
  <c r="A8609" i="1"/>
  <c r="B8609" i="1"/>
  <c r="A8610" i="1"/>
  <c r="B8610" i="1"/>
  <c r="A8611" i="1"/>
  <c r="B8611" i="1"/>
  <c r="A8612" i="1"/>
  <c r="A8613" i="1"/>
  <c r="B8613" i="1"/>
  <c r="A8614" i="1"/>
  <c r="B8614" i="1"/>
  <c r="A8615" i="1"/>
  <c r="B8615" i="1"/>
  <c r="A8616" i="1"/>
  <c r="B8616" i="1"/>
  <c r="A8617" i="1"/>
  <c r="A8618" i="1"/>
  <c r="B8618" i="1"/>
  <c r="A8619" i="1"/>
  <c r="A8620" i="1"/>
  <c r="B8620" i="1"/>
  <c r="A8621" i="1"/>
  <c r="B8621" i="1"/>
  <c r="A8622" i="1"/>
  <c r="B8622" i="1"/>
  <c r="A8623" i="1"/>
  <c r="A8624" i="1"/>
  <c r="A8625" i="1"/>
  <c r="A8626" i="1"/>
  <c r="A8627" i="1"/>
  <c r="A8628" i="1"/>
  <c r="B8628" i="1"/>
  <c r="A8629" i="1"/>
  <c r="B8629" i="1"/>
  <c r="A8630" i="1"/>
  <c r="B8630" i="1"/>
  <c r="A8631" i="1"/>
  <c r="A8632" i="1"/>
  <c r="B8632" i="1"/>
  <c r="A8633" i="1"/>
  <c r="B8633" i="1"/>
  <c r="A8634" i="1"/>
  <c r="B8634" i="1"/>
  <c r="A8635" i="1"/>
  <c r="B8635" i="1"/>
  <c r="A8636" i="1"/>
  <c r="A8637" i="1"/>
  <c r="A8638" i="1"/>
  <c r="B8638" i="1"/>
  <c r="A8639" i="1"/>
  <c r="B8639" i="1"/>
  <c r="A8640" i="1"/>
  <c r="B8640" i="1"/>
  <c r="A8641" i="1"/>
  <c r="B8641" i="1"/>
  <c r="A8642" i="1"/>
  <c r="B8642" i="1"/>
  <c r="A8643" i="1"/>
  <c r="B8643" i="1"/>
  <c r="A8644" i="1"/>
  <c r="B8644" i="1"/>
  <c r="A8645" i="1"/>
  <c r="B8645" i="1"/>
  <c r="A8646" i="1"/>
  <c r="B8646" i="1"/>
  <c r="A8647" i="1"/>
  <c r="B8647" i="1"/>
  <c r="A8648" i="1"/>
  <c r="B8648" i="1"/>
  <c r="A8649" i="1"/>
  <c r="B8649" i="1"/>
  <c r="A8650" i="1"/>
  <c r="B8650" i="1"/>
  <c r="A8651" i="1"/>
  <c r="B8651" i="1"/>
  <c r="A8652" i="1"/>
  <c r="B8652" i="1"/>
  <c r="A8653" i="1"/>
  <c r="B8653" i="1"/>
  <c r="A8654" i="1"/>
  <c r="A8655" i="1"/>
  <c r="B8655" i="1"/>
  <c r="A8656" i="1"/>
  <c r="B8656" i="1"/>
  <c r="A8657" i="1"/>
  <c r="B8657" i="1"/>
  <c r="A8658" i="1"/>
  <c r="A8659" i="1"/>
  <c r="B8659" i="1"/>
  <c r="A8660" i="1"/>
  <c r="A8661" i="1"/>
  <c r="A8662" i="1"/>
  <c r="A8663" i="1"/>
  <c r="B8663" i="1"/>
  <c r="A8664" i="1"/>
  <c r="B8664" i="1"/>
  <c r="A8665" i="1"/>
  <c r="B8665" i="1"/>
  <c r="A8666" i="1"/>
  <c r="B8666" i="1"/>
  <c r="A8667" i="1"/>
  <c r="B8667" i="1"/>
  <c r="A8668" i="1"/>
  <c r="B8668" i="1"/>
  <c r="A8669" i="1"/>
  <c r="B8669" i="1"/>
  <c r="A8670" i="1"/>
  <c r="A8671" i="1"/>
  <c r="A8672" i="1"/>
  <c r="B8672" i="1"/>
  <c r="A8673" i="1"/>
  <c r="B8673" i="1"/>
  <c r="A8674" i="1"/>
  <c r="B8674" i="1"/>
  <c r="A8675" i="1"/>
  <c r="B8675" i="1"/>
  <c r="A8676" i="1"/>
  <c r="B8676" i="1"/>
  <c r="A8677" i="1"/>
  <c r="B8677" i="1"/>
  <c r="A8678" i="1"/>
  <c r="B8678" i="1"/>
  <c r="A8679" i="1"/>
  <c r="A8680" i="1"/>
  <c r="A8681" i="1"/>
  <c r="A8682" i="1"/>
  <c r="B8682" i="1"/>
  <c r="A8683" i="1"/>
  <c r="B8683" i="1"/>
  <c r="A8684" i="1"/>
  <c r="B8684" i="1"/>
  <c r="A8685" i="1"/>
  <c r="B8685" i="1"/>
  <c r="A8686" i="1"/>
  <c r="B8686" i="1"/>
  <c r="A8687" i="1"/>
  <c r="B8687" i="1"/>
  <c r="A8688" i="1"/>
  <c r="B8688" i="1"/>
  <c r="A8689" i="1"/>
  <c r="B8689" i="1"/>
  <c r="A8690" i="1"/>
  <c r="B8690" i="1"/>
  <c r="A8691" i="1"/>
  <c r="B8691" i="1"/>
  <c r="A8692" i="1"/>
  <c r="B8692" i="1"/>
  <c r="A8693" i="1"/>
  <c r="B8693" i="1"/>
  <c r="A8694" i="1"/>
  <c r="B8694" i="1"/>
  <c r="A8695" i="1"/>
  <c r="B8695" i="1"/>
  <c r="A8696" i="1"/>
  <c r="A8697" i="1"/>
  <c r="B8697" i="1"/>
  <c r="A8698" i="1"/>
  <c r="B8698" i="1"/>
  <c r="A8699" i="1"/>
  <c r="B8699" i="1"/>
  <c r="A8700" i="1"/>
  <c r="B8700" i="1"/>
  <c r="A8701" i="1"/>
  <c r="B8701" i="1"/>
  <c r="A8702" i="1"/>
  <c r="B8702" i="1"/>
  <c r="A8703" i="1"/>
  <c r="B8703" i="1"/>
  <c r="A8704" i="1"/>
  <c r="B8704" i="1"/>
  <c r="A8705" i="1"/>
  <c r="B8705" i="1"/>
  <c r="A8706" i="1"/>
  <c r="B8706" i="1"/>
  <c r="A8707" i="1"/>
  <c r="B8707" i="1"/>
  <c r="A8708" i="1"/>
  <c r="B8708" i="1"/>
  <c r="A8709" i="1"/>
  <c r="B8709" i="1"/>
  <c r="A8710" i="1"/>
  <c r="B8710" i="1"/>
  <c r="A8711" i="1"/>
  <c r="A8712" i="1"/>
  <c r="B8712" i="1"/>
  <c r="A8713" i="1"/>
  <c r="A8714" i="1"/>
  <c r="B8714" i="1"/>
  <c r="A8715" i="1"/>
  <c r="B8715" i="1"/>
  <c r="A8716" i="1"/>
  <c r="A8717" i="1"/>
  <c r="A8718" i="1"/>
  <c r="A8719" i="1"/>
  <c r="A8720" i="1"/>
  <c r="A8721" i="1"/>
  <c r="A8722" i="1"/>
  <c r="B8722" i="1"/>
  <c r="A8723" i="1"/>
  <c r="B8723" i="1"/>
  <c r="A8724" i="1"/>
  <c r="A8725" i="1"/>
  <c r="A8726" i="1"/>
  <c r="A8727" i="1"/>
  <c r="B8727" i="1"/>
  <c r="A8728" i="1"/>
  <c r="B8728" i="1"/>
  <c r="A8729" i="1"/>
  <c r="B8729" i="1"/>
  <c r="A8730" i="1"/>
  <c r="B8730" i="1"/>
  <c r="A8731" i="1"/>
  <c r="B8731" i="1"/>
  <c r="A8732" i="1"/>
  <c r="A8733" i="1"/>
  <c r="B8733" i="1"/>
  <c r="A8734" i="1"/>
  <c r="B8734" i="1"/>
  <c r="A8735" i="1"/>
  <c r="B8735" i="1"/>
  <c r="A8736" i="1"/>
  <c r="B8736" i="1"/>
  <c r="A8737" i="1"/>
  <c r="A8738" i="1"/>
  <c r="B8738" i="1"/>
  <c r="A8739" i="1"/>
  <c r="B8739" i="1"/>
  <c r="A8740" i="1"/>
  <c r="B8740" i="1"/>
  <c r="A8741" i="1"/>
  <c r="B8741" i="1"/>
  <c r="A8742" i="1"/>
  <c r="B8742" i="1"/>
  <c r="A8743" i="1"/>
  <c r="B8743" i="1"/>
  <c r="A8744" i="1"/>
  <c r="A8745" i="1"/>
  <c r="B8745" i="1"/>
  <c r="A8746" i="1"/>
  <c r="A8747" i="1"/>
  <c r="A8748" i="1"/>
  <c r="B8748" i="1"/>
  <c r="A8749" i="1"/>
  <c r="B8749" i="1"/>
  <c r="A8750" i="1"/>
  <c r="A8751" i="1"/>
  <c r="B8751" i="1"/>
  <c r="A8752" i="1"/>
  <c r="B8752" i="1"/>
  <c r="A8753" i="1"/>
  <c r="B8753" i="1"/>
  <c r="A8754" i="1"/>
  <c r="A8755" i="1"/>
  <c r="B8755" i="1"/>
  <c r="A8756" i="1"/>
  <c r="A8757" i="1"/>
  <c r="A8758" i="1"/>
  <c r="B8758" i="1"/>
  <c r="A8759" i="1"/>
  <c r="B8759" i="1"/>
  <c r="A8760" i="1"/>
  <c r="B8760" i="1"/>
  <c r="A8761" i="1"/>
  <c r="B8761" i="1"/>
  <c r="A8762" i="1"/>
  <c r="B8762" i="1"/>
  <c r="A8763" i="1"/>
  <c r="B8763" i="1"/>
  <c r="A8764" i="1"/>
  <c r="A8765" i="1"/>
  <c r="A8766" i="1"/>
  <c r="A8767" i="1"/>
  <c r="B8767" i="1"/>
  <c r="A8768" i="1"/>
  <c r="A8769" i="1"/>
  <c r="A8770" i="1"/>
  <c r="B8770" i="1"/>
  <c r="A8771" i="1"/>
  <c r="B8771" i="1"/>
  <c r="A8772" i="1"/>
  <c r="B8772" i="1"/>
  <c r="A8773" i="1"/>
  <c r="B8773" i="1"/>
  <c r="A8774" i="1"/>
  <c r="B8774" i="1"/>
  <c r="A8775" i="1"/>
  <c r="B8775" i="1"/>
  <c r="A8776" i="1"/>
  <c r="B8776" i="1"/>
  <c r="A8777" i="1"/>
  <c r="B8777" i="1"/>
  <c r="A8778" i="1"/>
  <c r="B8778" i="1"/>
  <c r="A8779" i="1"/>
  <c r="B8779" i="1"/>
  <c r="A8780" i="1"/>
  <c r="A8781" i="1"/>
  <c r="A8782" i="1"/>
  <c r="B8782" i="1"/>
  <c r="A8783" i="1"/>
  <c r="A8784" i="1"/>
  <c r="B8784" i="1"/>
  <c r="A8785" i="1"/>
  <c r="B8785" i="1"/>
  <c r="A8786" i="1"/>
  <c r="B8786" i="1"/>
  <c r="A8787" i="1"/>
  <c r="B8787" i="1"/>
  <c r="A8788" i="1"/>
  <c r="B8788" i="1"/>
  <c r="A8789" i="1"/>
  <c r="B8789" i="1"/>
  <c r="A8790" i="1"/>
  <c r="B8790" i="1"/>
  <c r="A8791" i="1"/>
  <c r="A8792" i="1"/>
  <c r="A8793" i="1"/>
  <c r="B8793" i="1"/>
  <c r="A8794" i="1"/>
  <c r="B8794" i="1"/>
  <c r="A8795" i="1"/>
  <c r="B8795" i="1"/>
  <c r="A8796" i="1"/>
  <c r="B8796" i="1"/>
  <c r="A8797" i="1"/>
  <c r="A8798" i="1"/>
  <c r="A8799" i="1"/>
  <c r="A8800" i="1"/>
  <c r="B8800" i="1"/>
  <c r="A8801" i="1"/>
  <c r="B8801" i="1"/>
  <c r="A8802" i="1"/>
  <c r="B8802" i="1"/>
  <c r="A8803" i="1"/>
  <c r="B8803" i="1"/>
  <c r="A8804" i="1"/>
  <c r="A8805" i="1"/>
  <c r="B8805" i="1"/>
  <c r="A8806" i="1"/>
  <c r="B8806" i="1"/>
  <c r="A8807" i="1"/>
  <c r="B8807" i="1"/>
  <c r="A8808" i="1"/>
  <c r="B8808" i="1"/>
  <c r="A8809" i="1"/>
  <c r="B8809" i="1"/>
  <c r="A8810" i="1"/>
  <c r="B8810" i="1"/>
  <c r="A8811" i="1"/>
  <c r="B8811" i="1"/>
  <c r="A8812" i="1"/>
  <c r="B8812" i="1"/>
  <c r="A8813" i="1"/>
  <c r="A8814" i="1"/>
  <c r="A8815" i="1"/>
  <c r="B8815" i="1"/>
  <c r="A8816" i="1"/>
  <c r="B8816" i="1"/>
  <c r="A8817" i="1"/>
  <c r="B8817" i="1"/>
  <c r="A8818" i="1"/>
  <c r="A8819" i="1"/>
  <c r="B8819" i="1"/>
  <c r="A8820" i="1"/>
  <c r="B8820" i="1"/>
  <c r="A8821" i="1"/>
  <c r="A8822" i="1"/>
  <c r="B8822" i="1"/>
  <c r="A8823" i="1"/>
  <c r="A8824" i="1"/>
  <c r="B8824" i="1"/>
  <c r="A8825" i="1"/>
  <c r="B8825" i="1"/>
  <c r="A8826" i="1"/>
  <c r="A8827" i="1"/>
  <c r="A8828" i="1"/>
  <c r="A8829" i="1"/>
  <c r="B8829" i="1"/>
  <c r="A8830" i="1"/>
  <c r="B8830" i="1"/>
  <c r="A8831" i="1"/>
  <c r="B8831" i="1"/>
  <c r="A8832" i="1"/>
  <c r="B8832" i="1"/>
  <c r="A8833" i="1"/>
  <c r="B8833" i="1"/>
  <c r="A8834" i="1"/>
  <c r="B8834" i="1"/>
  <c r="A8835" i="1"/>
  <c r="B8835" i="1"/>
  <c r="A8836" i="1"/>
  <c r="B8836" i="1"/>
  <c r="A8837" i="1"/>
  <c r="B8837" i="1"/>
  <c r="A8838" i="1"/>
  <c r="B8838" i="1"/>
  <c r="A8839" i="1"/>
  <c r="B8839" i="1"/>
  <c r="A8840" i="1"/>
  <c r="B8840" i="1"/>
  <c r="A8841" i="1"/>
  <c r="A8842" i="1"/>
  <c r="A8843" i="1"/>
  <c r="A8844" i="1"/>
  <c r="B8844" i="1"/>
  <c r="A8845" i="1"/>
  <c r="B8845" i="1"/>
  <c r="A8846" i="1"/>
  <c r="B8846" i="1"/>
  <c r="A8847" i="1"/>
  <c r="B8847" i="1"/>
  <c r="A8848" i="1"/>
  <c r="B8848" i="1"/>
  <c r="A8849" i="1"/>
  <c r="B8849" i="1"/>
  <c r="A8850" i="1"/>
  <c r="B8850" i="1"/>
  <c r="A8851" i="1"/>
  <c r="B8851" i="1"/>
  <c r="A8852" i="1"/>
  <c r="B8852" i="1"/>
  <c r="A8853" i="1"/>
  <c r="B8853" i="1"/>
  <c r="A8854" i="1"/>
  <c r="B8854" i="1"/>
  <c r="A8855" i="1"/>
  <c r="B8855" i="1"/>
  <c r="A8856" i="1"/>
  <c r="B8856" i="1"/>
  <c r="A8857" i="1"/>
  <c r="A8858" i="1"/>
  <c r="B8858" i="1"/>
  <c r="A8859" i="1"/>
  <c r="B8859" i="1"/>
  <c r="A8860" i="1"/>
  <c r="A8861" i="1"/>
  <c r="B8861" i="1"/>
  <c r="A8862" i="1"/>
  <c r="B8862" i="1"/>
  <c r="A8863" i="1"/>
  <c r="B8863" i="1"/>
  <c r="A8864" i="1"/>
  <c r="B8864" i="1"/>
  <c r="A8865" i="1"/>
  <c r="A8866" i="1"/>
  <c r="B8866" i="1"/>
  <c r="A8867" i="1"/>
  <c r="A8868" i="1"/>
  <c r="B8868" i="1"/>
  <c r="A8869" i="1"/>
  <c r="B8869" i="1"/>
  <c r="A8870" i="1"/>
  <c r="B8870" i="1"/>
  <c r="A8871" i="1"/>
  <c r="A8872" i="1"/>
  <c r="A8873" i="1"/>
  <c r="A8874" i="1"/>
  <c r="B8874" i="1"/>
  <c r="A8875" i="1"/>
  <c r="B8875" i="1"/>
  <c r="A8876" i="1"/>
  <c r="A8877" i="1"/>
  <c r="A8878" i="1"/>
  <c r="A8879" i="1"/>
  <c r="A8880" i="1"/>
  <c r="A8881" i="1"/>
  <c r="B8881" i="1"/>
  <c r="A8882" i="1"/>
  <c r="A8883" i="1"/>
  <c r="B8883" i="1"/>
  <c r="A8884" i="1"/>
  <c r="A8885" i="1"/>
  <c r="A8886" i="1"/>
  <c r="A8887" i="1"/>
  <c r="B8887" i="1"/>
  <c r="A8888" i="1"/>
  <c r="B8888" i="1"/>
  <c r="A8889" i="1"/>
  <c r="A8890" i="1"/>
  <c r="A8891" i="1"/>
  <c r="B8891" i="1"/>
  <c r="A8892" i="1"/>
  <c r="B8892" i="1"/>
  <c r="A8893" i="1"/>
  <c r="A8894" i="1"/>
  <c r="A8895" i="1"/>
  <c r="B8895" i="1"/>
  <c r="A8896" i="1"/>
  <c r="B8896" i="1"/>
  <c r="A8897" i="1"/>
  <c r="B8897" i="1"/>
  <c r="A8898" i="1"/>
  <c r="B8898" i="1"/>
  <c r="A8899" i="1"/>
  <c r="B8899" i="1"/>
  <c r="A8900" i="1"/>
  <c r="B8900" i="1"/>
  <c r="A8901" i="1"/>
  <c r="B8901" i="1"/>
  <c r="A8902" i="1"/>
  <c r="B8902" i="1"/>
  <c r="A8903" i="1"/>
  <c r="A8904" i="1"/>
  <c r="B8904" i="1"/>
  <c r="A8905" i="1"/>
  <c r="A8906" i="1"/>
  <c r="B8906" i="1"/>
  <c r="A8907" i="1"/>
  <c r="B8907" i="1"/>
  <c r="A8908" i="1"/>
  <c r="B8908" i="1"/>
  <c r="A8909" i="1"/>
  <c r="A8910" i="1"/>
  <c r="B8910" i="1"/>
  <c r="A8911" i="1"/>
  <c r="B8911" i="1"/>
  <c r="A8912" i="1"/>
  <c r="B8912" i="1"/>
  <c r="A8913" i="1"/>
  <c r="B8913" i="1"/>
  <c r="A8914" i="1"/>
  <c r="B8914" i="1"/>
  <c r="A8915" i="1"/>
  <c r="B8915" i="1"/>
  <c r="A8916" i="1"/>
  <c r="B8916" i="1"/>
  <c r="A8917" i="1"/>
  <c r="A8918" i="1"/>
  <c r="A8919" i="1"/>
  <c r="A8920" i="1"/>
  <c r="B8920" i="1"/>
  <c r="A8921" i="1"/>
  <c r="B8921" i="1"/>
  <c r="A8922" i="1"/>
  <c r="B8922" i="1"/>
  <c r="A8923" i="1"/>
  <c r="B8923" i="1"/>
  <c r="A8924" i="1"/>
  <c r="B8924" i="1"/>
  <c r="A8925" i="1"/>
  <c r="B8925" i="1"/>
  <c r="A8926" i="1"/>
  <c r="B8926" i="1"/>
  <c r="A8927" i="1"/>
  <c r="B8927" i="1"/>
  <c r="A8928" i="1"/>
  <c r="B8928" i="1"/>
  <c r="A8929" i="1"/>
  <c r="B8929" i="1"/>
  <c r="A8930" i="1"/>
  <c r="B8930" i="1"/>
  <c r="A8931" i="1"/>
  <c r="B8931" i="1"/>
  <c r="A8932" i="1"/>
  <c r="B8932" i="1"/>
  <c r="A8933" i="1"/>
  <c r="B8933" i="1"/>
  <c r="A8934" i="1"/>
  <c r="B8934" i="1"/>
  <c r="A8935" i="1"/>
  <c r="A8936" i="1"/>
  <c r="B8936" i="1"/>
  <c r="A8937" i="1"/>
  <c r="B8937" i="1"/>
  <c r="A8938" i="1"/>
  <c r="B8938" i="1"/>
  <c r="A8939" i="1"/>
  <c r="B8939" i="1"/>
  <c r="A8940" i="1"/>
  <c r="B8940" i="1"/>
  <c r="A8941" i="1"/>
  <c r="B8941" i="1"/>
  <c r="A8942" i="1"/>
  <c r="B8942" i="1"/>
  <c r="A8943" i="1"/>
  <c r="A8944" i="1"/>
  <c r="B8944" i="1"/>
  <c r="A8945" i="1"/>
  <c r="B8945" i="1"/>
  <c r="A8946" i="1"/>
  <c r="B8946" i="1"/>
  <c r="A8947" i="1"/>
  <c r="B8947" i="1"/>
  <c r="A8948" i="1"/>
  <c r="A8949" i="1"/>
  <c r="B8949" i="1"/>
  <c r="A8950" i="1"/>
  <c r="B8950" i="1"/>
  <c r="A8951" i="1"/>
  <c r="B8951" i="1"/>
  <c r="A8952" i="1"/>
  <c r="B8952" i="1"/>
  <c r="A8953" i="1"/>
  <c r="B8953" i="1"/>
  <c r="A8954" i="1"/>
  <c r="A8955" i="1"/>
  <c r="B8955" i="1"/>
  <c r="A8956" i="1"/>
  <c r="B8956" i="1"/>
  <c r="A8957" i="1"/>
  <c r="B8957" i="1"/>
  <c r="A8958" i="1"/>
  <c r="B8958" i="1"/>
  <c r="A8959" i="1"/>
  <c r="A8960" i="1"/>
  <c r="A8961" i="1"/>
  <c r="B8961" i="1"/>
  <c r="A8962" i="1"/>
  <c r="B8962" i="1"/>
  <c r="A8963" i="1"/>
  <c r="B8963" i="1"/>
  <c r="A8964" i="1"/>
  <c r="B8964" i="1"/>
  <c r="A8965" i="1"/>
  <c r="B8965" i="1"/>
  <c r="A8966" i="1"/>
  <c r="A8967" i="1"/>
  <c r="B8967" i="1"/>
  <c r="A8968" i="1"/>
  <c r="B8968" i="1"/>
  <c r="A8969" i="1"/>
  <c r="B8969" i="1"/>
  <c r="A8970" i="1"/>
  <c r="B8970" i="1"/>
  <c r="A8971" i="1"/>
  <c r="A8972" i="1"/>
  <c r="B8972" i="1"/>
  <c r="A8973" i="1"/>
  <c r="B8973" i="1"/>
  <c r="A8974" i="1"/>
  <c r="B8974" i="1"/>
  <c r="A8975" i="1"/>
  <c r="B8975" i="1"/>
  <c r="A8976" i="1"/>
  <c r="A8977" i="1"/>
  <c r="A8978" i="1"/>
  <c r="B8978" i="1"/>
  <c r="A8979" i="1"/>
  <c r="B8979" i="1"/>
  <c r="A8980" i="1"/>
  <c r="A8981" i="1"/>
  <c r="A8982" i="1"/>
  <c r="A8983" i="1"/>
  <c r="A8984" i="1"/>
  <c r="A8985" i="1"/>
  <c r="B8985" i="1"/>
  <c r="A8986" i="1"/>
  <c r="A8987" i="1"/>
  <c r="B8987" i="1"/>
  <c r="A8988" i="1"/>
  <c r="B8988" i="1"/>
  <c r="A8989" i="1"/>
  <c r="A8990" i="1"/>
  <c r="A8991" i="1"/>
  <c r="A8992" i="1"/>
  <c r="A8993" i="1"/>
  <c r="A8994" i="1"/>
  <c r="A8995" i="1"/>
  <c r="A8996" i="1"/>
  <c r="B8996" i="1"/>
  <c r="A8997" i="1"/>
  <c r="B8997" i="1"/>
  <c r="A8998" i="1"/>
  <c r="B8998" i="1"/>
  <c r="A8999" i="1"/>
  <c r="B8999" i="1"/>
  <c r="A9000" i="1"/>
  <c r="B9000" i="1"/>
  <c r="A9001" i="1"/>
  <c r="B9001" i="1"/>
  <c r="A9002" i="1"/>
  <c r="B9002" i="1"/>
  <c r="A9003" i="1"/>
  <c r="B9003" i="1"/>
  <c r="A9004" i="1"/>
  <c r="A9005" i="1"/>
  <c r="B9005" i="1"/>
  <c r="A9006" i="1"/>
  <c r="B9006" i="1"/>
  <c r="A9007" i="1"/>
  <c r="B9007" i="1"/>
  <c r="A9008" i="1"/>
  <c r="B9008" i="1"/>
  <c r="A9009" i="1"/>
  <c r="B9009" i="1"/>
  <c r="A9010" i="1"/>
  <c r="B9010" i="1"/>
  <c r="A9011" i="1"/>
  <c r="B9011" i="1"/>
  <c r="A9012" i="1"/>
  <c r="B9012" i="1"/>
  <c r="A9013" i="1"/>
  <c r="A9014" i="1"/>
  <c r="A9015" i="1"/>
  <c r="B9015" i="1"/>
  <c r="A9016" i="1"/>
  <c r="B9016" i="1"/>
  <c r="A9017" i="1"/>
  <c r="B9017" i="1"/>
  <c r="A9018" i="1"/>
  <c r="A9019" i="1"/>
  <c r="A9020" i="1"/>
  <c r="A9021" i="1"/>
  <c r="B9021" i="1"/>
  <c r="A9022" i="1"/>
  <c r="A9023" i="1"/>
  <c r="A9024" i="1"/>
  <c r="B9024" i="1"/>
  <c r="A9025" i="1"/>
  <c r="B9025" i="1"/>
  <c r="A9026" i="1"/>
  <c r="B9026" i="1"/>
  <c r="A9027" i="1"/>
  <c r="B9027" i="1"/>
  <c r="A9028" i="1"/>
  <c r="B9028" i="1"/>
  <c r="A9029" i="1"/>
  <c r="A9030" i="1"/>
  <c r="B9030" i="1"/>
  <c r="A9031" i="1"/>
  <c r="B9031" i="1"/>
  <c r="A9032" i="1"/>
  <c r="A9033" i="1"/>
  <c r="A9034" i="1"/>
  <c r="A9035" i="1"/>
  <c r="B9035" i="1"/>
  <c r="A9036" i="1"/>
  <c r="B9036" i="1"/>
  <c r="A9037" i="1"/>
  <c r="B9037" i="1"/>
  <c r="A9038" i="1"/>
  <c r="B9038" i="1"/>
  <c r="A9039" i="1"/>
  <c r="B9039" i="1"/>
  <c r="A9040" i="1"/>
  <c r="A9041" i="1"/>
  <c r="B9041" i="1"/>
  <c r="A9042" i="1"/>
  <c r="B9042" i="1"/>
  <c r="A9043" i="1"/>
  <c r="B9043" i="1"/>
  <c r="A9044" i="1"/>
  <c r="B9044" i="1"/>
  <c r="A9045" i="1"/>
  <c r="A9046" i="1"/>
  <c r="B9046" i="1"/>
  <c r="A9047" i="1"/>
  <c r="B9047" i="1"/>
  <c r="A9048" i="1"/>
  <c r="A9049" i="1"/>
  <c r="B9049" i="1"/>
  <c r="A9050" i="1"/>
  <c r="B9050" i="1"/>
  <c r="A9051" i="1"/>
  <c r="B9051" i="1"/>
  <c r="A9052" i="1"/>
  <c r="A9053" i="1"/>
  <c r="B9053" i="1"/>
  <c r="A9054" i="1"/>
  <c r="B9054" i="1"/>
  <c r="A9055" i="1"/>
  <c r="B9055" i="1"/>
  <c r="A9056" i="1"/>
  <c r="B9056" i="1"/>
  <c r="A9057" i="1"/>
  <c r="B9057" i="1"/>
  <c r="A9058" i="1"/>
  <c r="B9058" i="1"/>
  <c r="A9059" i="1"/>
  <c r="B9059" i="1"/>
  <c r="A9060" i="1"/>
  <c r="A9061" i="1"/>
  <c r="B9061" i="1"/>
  <c r="A9062" i="1"/>
  <c r="B9062" i="1"/>
  <c r="A9063" i="1"/>
  <c r="B9063" i="1"/>
  <c r="A9064" i="1"/>
  <c r="B9064" i="1"/>
  <c r="A9065" i="1"/>
  <c r="B9065" i="1"/>
  <c r="A9066" i="1"/>
  <c r="B9066" i="1"/>
  <c r="A9067" i="1"/>
  <c r="B9067" i="1"/>
  <c r="A9068" i="1"/>
  <c r="B9068" i="1"/>
  <c r="A9069" i="1"/>
  <c r="A9070" i="1"/>
  <c r="B9070" i="1"/>
  <c r="A9071" i="1"/>
  <c r="B9071" i="1"/>
  <c r="A9072" i="1"/>
  <c r="A9073" i="1"/>
  <c r="B9073" i="1"/>
  <c r="A9074" i="1"/>
  <c r="B9074" i="1"/>
  <c r="A9075" i="1"/>
  <c r="A9076" i="1"/>
  <c r="B9076" i="1"/>
  <c r="A9077" i="1"/>
  <c r="B9077" i="1"/>
  <c r="A9078" i="1"/>
  <c r="B9078" i="1"/>
  <c r="A9079" i="1"/>
  <c r="B9079" i="1"/>
  <c r="A9080" i="1"/>
  <c r="B9080" i="1"/>
  <c r="A9081" i="1"/>
  <c r="A9082" i="1"/>
  <c r="A9083" i="1"/>
  <c r="B9083" i="1"/>
  <c r="A9084" i="1"/>
  <c r="B9084" i="1"/>
  <c r="A9085" i="1"/>
  <c r="B9085" i="1"/>
  <c r="A9086" i="1"/>
  <c r="B9086" i="1"/>
  <c r="A9087" i="1"/>
  <c r="B9087" i="1"/>
  <c r="A9088" i="1"/>
  <c r="B9088" i="1"/>
  <c r="A9089" i="1"/>
  <c r="B9089" i="1"/>
  <c r="A9090" i="1"/>
  <c r="B9090" i="1"/>
  <c r="A9091" i="1"/>
  <c r="B9091" i="1"/>
  <c r="A9092" i="1"/>
  <c r="B9092" i="1"/>
  <c r="A9093" i="1"/>
  <c r="B9093" i="1"/>
  <c r="A9094" i="1"/>
  <c r="B9094" i="1"/>
  <c r="A9095" i="1"/>
  <c r="B9095" i="1"/>
  <c r="A9096" i="1"/>
  <c r="B9096" i="1"/>
  <c r="A9097" i="1"/>
  <c r="B9097" i="1"/>
  <c r="A9098" i="1"/>
  <c r="B9098" i="1"/>
  <c r="A9099" i="1"/>
  <c r="B9099" i="1"/>
  <c r="A9100" i="1"/>
  <c r="B9100" i="1"/>
  <c r="A9101" i="1"/>
  <c r="B9101" i="1"/>
  <c r="A9102" i="1"/>
  <c r="A9103" i="1"/>
  <c r="B9103" i="1"/>
  <c r="A9104" i="1"/>
  <c r="B9104" i="1"/>
  <c r="A9105" i="1"/>
  <c r="A9106" i="1"/>
  <c r="A9107" i="1"/>
  <c r="B9107" i="1"/>
  <c r="A9108" i="1"/>
  <c r="B9108" i="1"/>
  <c r="A9109" i="1"/>
  <c r="A9110" i="1"/>
  <c r="B9110" i="1"/>
  <c r="A9111" i="1"/>
  <c r="B9111" i="1"/>
  <c r="A9112" i="1"/>
  <c r="B9112" i="1"/>
  <c r="A9113" i="1"/>
  <c r="B9113" i="1"/>
  <c r="A9114" i="1"/>
  <c r="B9114" i="1"/>
  <c r="A9115" i="1"/>
  <c r="B9115" i="1"/>
  <c r="A9116" i="1"/>
  <c r="A9117" i="1"/>
  <c r="B9117" i="1"/>
  <c r="A9118" i="1"/>
  <c r="B9118" i="1"/>
  <c r="A9119" i="1"/>
  <c r="B9119" i="1"/>
  <c r="A9120" i="1"/>
  <c r="A9121" i="1"/>
  <c r="B9121" i="1"/>
  <c r="A9122" i="1"/>
  <c r="B9122" i="1"/>
  <c r="A9123" i="1"/>
  <c r="B9123" i="1"/>
  <c r="A9124" i="1"/>
  <c r="B9124" i="1"/>
  <c r="A9125" i="1"/>
  <c r="B9125" i="1"/>
  <c r="A9126" i="1"/>
  <c r="B9126" i="1"/>
  <c r="A9127" i="1"/>
  <c r="B9127" i="1"/>
  <c r="A9128" i="1"/>
  <c r="B9128" i="1"/>
  <c r="A9129" i="1"/>
  <c r="B9129" i="1"/>
  <c r="A9130" i="1"/>
  <c r="A9131" i="1"/>
  <c r="B9131" i="1"/>
  <c r="A9132" i="1"/>
  <c r="B9132" i="1"/>
  <c r="A9133" i="1"/>
  <c r="B9133" i="1"/>
  <c r="A9134" i="1"/>
  <c r="B9134" i="1"/>
  <c r="A9135" i="1"/>
  <c r="B9135" i="1"/>
  <c r="A9136" i="1"/>
  <c r="A9137" i="1"/>
  <c r="A9138" i="1"/>
  <c r="B9138" i="1"/>
  <c r="A9139" i="1"/>
  <c r="B9139" i="1"/>
  <c r="A9140" i="1"/>
  <c r="B9140" i="1"/>
  <c r="A9141" i="1"/>
  <c r="A9142" i="1"/>
  <c r="B9142" i="1"/>
  <c r="A9143" i="1"/>
  <c r="B9143" i="1"/>
  <c r="A9144" i="1"/>
  <c r="A9145" i="1"/>
  <c r="B9145" i="1"/>
  <c r="A9146" i="1"/>
  <c r="B9146" i="1"/>
  <c r="A9147" i="1"/>
  <c r="B9147" i="1"/>
  <c r="A9148" i="1"/>
  <c r="B9148" i="1"/>
  <c r="A9149" i="1"/>
  <c r="A9150" i="1"/>
  <c r="A9151" i="1"/>
  <c r="B9151" i="1"/>
  <c r="A9152" i="1"/>
  <c r="A9153" i="1"/>
  <c r="B9153" i="1"/>
  <c r="A9154" i="1"/>
  <c r="B9154" i="1"/>
  <c r="A9155" i="1"/>
  <c r="A9156" i="1"/>
  <c r="B9156" i="1"/>
  <c r="A9157" i="1"/>
  <c r="B9157" i="1"/>
  <c r="A9158" i="1"/>
  <c r="A9159" i="1"/>
  <c r="B9159" i="1"/>
  <c r="A9160" i="1"/>
  <c r="B9160" i="1"/>
  <c r="A9161" i="1"/>
  <c r="B9161" i="1"/>
  <c r="A9162" i="1"/>
  <c r="B9162" i="1"/>
  <c r="A9163" i="1"/>
  <c r="B9163" i="1"/>
  <c r="A9164" i="1"/>
  <c r="A9165" i="1"/>
  <c r="B9165" i="1"/>
  <c r="A9166" i="1"/>
  <c r="B9166" i="1"/>
  <c r="A9167" i="1"/>
  <c r="B9167" i="1"/>
  <c r="A9168" i="1"/>
  <c r="B9168" i="1"/>
  <c r="A9169" i="1"/>
  <c r="B9169" i="1"/>
  <c r="A9170" i="1"/>
  <c r="B9170" i="1"/>
  <c r="A9171" i="1"/>
  <c r="B9171" i="1"/>
  <c r="A9172" i="1"/>
  <c r="B9172" i="1"/>
  <c r="A9173" i="1"/>
  <c r="B9173" i="1"/>
  <c r="A9174" i="1"/>
  <c r="B9174" i="1"/>
  <c r="A9175" i="1"/>
  <c r="A9176" i="1"/>
  <c r="A9177" i="1"/>
  <c r="B9177" i="1"/>
  <c r="A9178" i="1"/>
  <c r="A9179" i="1"/>
  <c r="A9180" i="1"/>
  <c r="B9180" i="1"/>
  <c r="A9181" i="1"/>
  <c r="A9182" i="1"/>
  <c r="B9182" i="1"/>
  <c r="A9183" i="1"/>
  <c r="B9183" i="1"/>
  <c r="A9184" i="1"/>
  <c r="B9184" i="1"/>
  <c r="A9185" i="1"/>
  <c r="A9186" i="1"/>
  <c r="A9187" i="1"/>
  <c r="A9188" i="1"/>
  <c r="A9189" i="1"/>
  <c r="B9189" i="1"/>
  <c r="A9190" i="1"/>
  <c r="A9191" i="1"/>
  <c r="B9191" i="1"/>
  <c r="A9192" i="1"/>
  <c r="B9192" i="1"/>
  <c r="A9193" i="1"/>
  <c r="B9193" i="1"/>
  <c r="A9194" i="1"/>
  <c r="B9194" i="1"/>
  <c r="A9195" i="1"/>
  <c r="B9195" i="1"/>
  <c r="A9196" i="1"/>
  <c r="A9197" i="1"/>
  <c r="B9197" i="1"/>
  <c r="A9198" i="1"/>
  <c r="B9198" i="1"/>
  <c r="A9199" i="1"/>
  <c r="B9199" i="1"/>
  <c r="A9200" i="1"/>
  <c r="B9200" i="1"/>
  <c r="A9201" i="1"/>
  <c r="B9201" i="1"/>
  <c r="A9202" i="1"/>
  <c r="B9202" i="1"/>
  <c r="A9203" i="1"/>
  <c r="B9203" i="1"/>
  <c r="A9204" i="1"/>
  <c r="A9205" i="1"/>
  <c r="B9205" i="1"/>
  <c r="A9206" i="1"/>
  <c r="B9206" i="1"/>
  <c r="A9207" i="1"/>
  <c r="B9207" i="1"/>
  <c r="A9208" i="1"/>
  <c r="A9209" i="1"/>
  <c r="A9210" i="1"/>
  <c r="B9210" i="1"/>
  <c r="A9211" i="1"/>
  <c r="A9212" i="1"/>
  <c r="B9212" i="1"/>
  <c r="A9213" i="1"/>
  <c r="B9213" i="1"/>
  <c r="A9214" i="1"/>
  <c r="B9214" i="1"/>
  <c r="A9215" i="1"/>
  <c r="B9215" i="1"/>
  <c r="A9216" i="1"/>
  <c r="B9216" i="1"/>
  <c r="A9217" i="1"/>
  <c r="A9218" i="1"/>
  <c r="A9219" i="1"/>
  <c r="A9220" i="1"/>
  <c r="B9220" i="1"/>
  <c r="A9221" i="1"/>
  <c r="B9221" i="1"/>
  <c r="A9222" i="1"/>
  <c r="B9222" i="1"/>
  <c r="A9223" i="1"/>
  <c r="A9224" i="1"/>
  <c r="B9224" i="1"/>
  <c r="A9225" i="1"/>
  <c r="A9226" i="1"/>
  <c r="B9226" i="1"/>
  <c r="A9227" i="1"/>
  <c r="B9227" i="1"/>
  <c r="A9228" i="1"/>
  <c r="B9228" i="1"/>
  <c r="A9229" i="1"/>
  <c r="B9229" i="1"/>
  <c r="A9230" i="1"/>
  <c r="B9230" i="1"/>
  <c r="A9231" i="1"/>
  <c r="A9232" i="1"/>
  <c r="B9232" i="1"/>
  <c r="A9233" i="1"/>
  <c r="B9233" i="1"/>
  <c r="A9234" i="1"/>
  <c r="B9234" i="1"/>
  <c r="A9235" i="1"/>
  <c r="B9235" i="1"/>
  <c r="A9236" i="1"/>
  <c r="B9236" i="1"/>
  <c r="A9237" i="1"/>
  <c r="B9237" i="1"/>
  <c r="A9238" i="1"/>
  <c r="B9238" i="1"/>
  <c r="A9239" i="1"/>
  <c r="A9240" i="1"/>
  <c r="B9240" i="1"/>
  <c r="A9241" i="1"/>
  <c r="B9241" i="1"/>
  <c r="A9242" i="1"/>
  <c r="B9242" i="1"/>
  <c r="A9243" i="1"/>
  <c r="B9243" i="1"/>
  <c r="A9244" i="1"/>
  <c r="B9244" i="1"/>
  <c r="A9245" i="1"/>
  <c r="B9245" i="1"/>
  <c r="A9246" i="1"/>
  <c r="B9246" i="1"/>
  <c r="A9247" i="1"/>
  <c r="B9247" i="1"/>
  <c r="A9248" i="1"/>
  <c r="B9248" i="1"/>
  <c r="A9249" i="1"/>
  <c r="B9249" i="1"/>
  <c r="A9250" i="1"/>
  <c r="B9250" i="1"/>
  <c r="A9251" i="1"/>
  <c r="B9251" i="1"/>
  <c r="A9252" i="1"/>
  <c r="B9252" i="1"/>
  <c r="A9253" i="1"/>
  <c r="A9254" i="1"/>
  <c r="A9255" i="1"/>
  <c r="B9255" i="1"/>
  <c r="A9256" i="1"/>
  <c r="B9256" i="1"/>
  <c r="A9257" i="1"/>
  <c r="B9257" i="1"/>
  <c r="A9258" i="1"/>
  <c r="B9258" i="1"/>
  <c r="A9259" i="1"/>
  <c r="A9260" i="1"/>
  <c r="B9260" i="1"/>
  <c r="A9261" i="1"/>
  <c r="B9261" i="1"/>
  <c r="A9262" i="1"/>
  <c r="A9263" i="1"/>
  <c r="B9263" i="1"/>
  <c r="A9264" i="1"/>
  <c r="B9264" i="1"/>
  <c r="A9265" i="1"/>
  <c r="B9265" i="1"/>
  <c r="A9266" i="1"/>
  <c r="B9266" i="1"/>
  <c r="A9267" i="1"/>
  <c r="A9268" i="1"/>
  <c r="B9268" i="1"/>
  <c r="A9269" i="1"/>
  <c r="B9269" i="1"/>
  <c r="A9270" i="1"/>
  <c r="B9270" i="1"/>
  <c r="A9271" i="1"/>
  <c r="B9271" i="1"/>
  <c r="A9272" i="1"/>
  <c r="B9272" i="1"/>
  <c r="A9273" i="1"/>
  <c r="A9274" i="1"/>
  <c r="B9274" i="1"/>
  <c r="A9275" i="1"/>
  <c r="B9275" i="1"/>
  <c r="A9276" i="1"/>
  <c r="B9276" i="1"/>
  <c r="A9277" i="1"/>
  <c r="B9277" i="1"/>
  <c r="A9278" i="1"/>
  <c r="B9278" i="1"/>
  <c r="A9279" i="1"/>
  <c r="B9279" i="1"/>
  <c r="A9280" i="1"/>
  <c r="B9280" i="1"/>
  <c r="A9281" i="1"/>
  <c r="B9281" i="1"/>
  <c r="A9282" i="1"/>
  <c r="B9282" i="1"/>
  <c r="A9283" i="1"/>
  <c r="B9283" i="1"/>
  <c r="A9284" i="1"/>
  <c r="B9284" i="1"/>
  <c r="A9285" i="1"/>
  <c r="A9286" i="1"/>
  <c r="B9286" i="1"/>
  <c r="A9287" i="1"/>
  <c r="B9287" i="1"/>
  <c r="A9288" i="1"/>
  <c r="B9288" i="1"/>
  <c r="A9289" i="1"/>
  <c r="B9289" i="1"/>
  <c r="A9290" i="1"/>
  <c r="B9290" i="1"/>
  <c r="A9291" i="1"/>
  <c r="B9291" i="1"/>
  <c r="A9292" i="1"/>
  <c r="B9292" i="1"/>
  <c r="A9293" i="1"/>
  <c r="B9293" i="1"/>
  <c r="A9294" i="1"/>
  <c r="B9294" i="1"/>
  <c r="A9295" i="1"/>
  <c r="B9295" i="1"/>
  <c r="A9296" i="1"/>
  <c r="B9296" i="1"/>
  <c r="A9297" i="1"/>
  <c r="A9298" i="1"/>
  <c r="B9298" i="1"/>
  <c r="A9299" i="1"/>
  <c r="A9300" i="1"/>
  <c r="B9300" i="1"/>
  <c r="A9301" i="1"/>
  <c r="B9301" i="1"/>
  <c r="A9302" i="1"/>
  <c r="B9302" i="1"/>
  <c r="A9303" i="1"/>
  <c r="B9303" i="1"/>
  <c r="A9304" i="1"/>
  <c r="B9304" i="1"/>
  <c r="A9305" i="1"/>
  <c r="B9305" i="1"/>
  <c r="A9306" i="1"/>
  <c r="B9306" i="1"/>
  <c r="A9307" i="1"/>
  <c r="B9307" i="1"/>
  <c r="A9308" i="1"/>
  <c r="B9308" i="1"/>
  <c r="A9309" i="1"/>
  <c r="B9309" i="1"/>
  <c r="A9310" i="1"/>
  <c r="B9310" i="1"/>
  <c r="A9311" i="1"/>
  <c r="B9311" i="1"/>
  <c r="A9312" i="1"/>
  <c r="B9312" i="1"/>
  <c r="A9313" i="1"/>
  <c r="B9313" i="1"/>
  <c r="A9314" i="1"/>
  <c r="B9314" i="1"/>
  <c r="A9315" i="1"/>
  <c r="B9315" i="1"/>
  <c r="A9316" i="1"/>
  <c r="B9316" i="1"/>
  <c r="A9317" i="1"/>
  <c r="B9317" i="1"/>
  <c r="A9318" i="1"/>
  <c r="B9318" i="1"/>
  <c r="A9319" i="1"/>
  <c r="B9319" i="1"/>
  <c r="A9320" i="1"/>
  <c r="B9320" i="1"/>
  <c r="A9321" i="1"/>
  <c r="B9321" i="1"/>
  <c r="A9322" i="1"/>
  <c r="A9323" i="1"/>
  <c r="B9323" i="1"/>
  <c r="A9324" i="1"/>
  <c r="B9324" i="1"/>
  <c r="A9325" i="1"/>
  <c r="B9325" i="1"/>
  <c r="A9326" i="1"/>
  <c r="B9326" i="1"/>
  <c r="A9327" i="1"/>
  <c r="A9328" i="1"/>
  <c r="B9328" i="1"/>
  <c r="A9329" i="1"/>
  <c r="B9329" i="1"/>
  <c r="A9330" i="1"/>
  <c r="B9330" i="1"/>
  <c r="A9331" i="1"/>
  <c r="B9331" i="1"/>
  <c r="A9332" i="1"/>
  <c r="B9332" i="1"/>
  <c r="A9333" i="1"/>
  <c r="B9333" i="1"/>
  <c r="A9334" i="1"/>
  <c r="B9334" i="1"/>
  <c r="A9335" i="1"/>
  <c r="B9335" i="1"/>
  <c r="A9336" i="1"/>
  <c r="B9336" i="1"/>
  <c r="A9337" i="1"/>
  <c r="B9337" i="1"/>
  <c r="A9338" i="1"/>
  <c r="A9339" i="1"/>
  <c r="A9340" i="1"/>
  <c r="B9340" i="1"/>
  <c r="A9341" i="1"/>
  <c r="B9341" i="1"/>
  <c r="A9342" i="1"/>
  <c r="B9342" i="1"/>
  <c r="A9343" i="1"/>
  <c r="B9343" i="1"/>
  <c r="A9344" i="1"/>
  <c r="B9344" i="1"/>
  <c r="A9345" i="1"/>
  <c r="B9345" i="1"/>
  <c r="A9346" i="1"/>
  <c r="B9346" i="1"/>
  <c r="A9347" i="1"/>
  <c r="B9347" i="1"/>
  <c r="A9348" i="1"/>
  <c r="A9349" i="1"/>
  <c r="B9349" i="1"/>
  <c r="A9350" i="1"/>
  <c r="B9350" i="1"/>
  <c r="A9351" i="1"/>
  <c r="B9351" i="1"/>
  <c r="A9352" i="1"/>
  <c r="A9353" i="1"/>
  <c r="A9354" i="1"/>
  <c r="B9354" i="1"/>
  <c r="A9355" i="1"/>
  <c r="B9355" i="1"/>
  <c r="A9356" i="1"/>
  <c r="B9356" i="1"/>
  <c r="A9357" i="1"/>
  <c r="B9357" i="1"/>
  <c r="A9358" i="1"/>
  <c r="B9358" i="1"/>
  <c r="A9359" i="1"/>
  <c r="B9359" i="1"/>
  <c r="A9360" i="1"/>
  <c r="B9360" i="1"/>
  <c r="A9361" i="1"/>
  <c r="B9361" i="1"/>
  <c r="A9362" i="1"/>
  <c r="B9362" i="1"/>
  <c r="A9363" i="1"/>
  <c r="B9363" i="1"/>
  <c r="A9364" i="1"/>
  <c r="B9364" i="1"/>
  <c r="A9365" i="1"/>
  <c r="B9365" i="1"/>
  <c r="A9366" i="1"/>
  <c r="A9367" i="1"/>
  <c r="A9368" i="1"/>
  <c r="B9368" i="1"/>
  <c r="A9369" i="1"/>
  <c r="B9369" i="1"/>
  <c r="A9370" i="1"/>
  <c r="B9370" i="1"/>
  <c r="A9371" i="1"/>
  <c r="B9371" i="1"/>
  <c r="A9372" i="1"/>
  <c r="B9372" i="1"/>
  <c r="A9373" i="1"/>
  <c r="B9373" i="1"/>
  <c r="A9374" i="1"/>
  <c r="A9375" i="1"/>
  <c r="B9375" i="1"/>
  <c r="A9376" i="1"/>
  <c r="B9376" i="1"/>
  <c r="A9377" i="1"/>
  <c r="B9377" i="1"/>
  <c r="A9378" i="1"/>
  <c r="B9378" i="1"/>
  <c r="A9379" i="1"/>
  <c r="B9379" i="1"/>
  <c r="A9380" i="1"/>
  <c r="B9380" i="1"/>
  <c r="A9381" i="1"/>
  <c r="B9381" i="1"/>
  <c r="A9382" i="1"/>
  <c r="B9382" i="1"/>
  <c r="A9383" i="1"/>
  <c r="A9384" i="1"/>
  <c r="A9385" i="1"/>
  <c r="B9385" i="1"/>
  <c r="A9386" i="1"/>
  <c r="B9386" i="1"/>
  <c r="A9387" i="1"/>
  <c r="B9387" i="1"/>
  <c r="A9388" i="1"/>
  <c r="B9388" i="1"/>
  <c r="A9389" i="1"/>
  <c r="B9389" i="1"/>
  <c r="A9390" i="1"/>
  <c r="B9390" i="1"/>
  <c r="A9391" i="1"/>
  <c r="B9391" i="1"/>
  <c r="A9392" i="1"/>
  <c r="B9392" i="1"/>
  <c r="A9393" i="1"/>
  <c r="B9393" i="1"/>
  <c r="A9394" i="1"/>
  <c r="B9394" i="1"/>
  <c r="A9395" i="1"/>
  <c r="B9395" i="1"/>
  <c r="A9396" i="1"/>
  <c r="B9396" i="1"/>
  <c r="A9397" i="1"/>
  <c r="B9397" i="1"/>
  <c r="A9398" i="1"/>
  <c r="B9398" i="1"/>
  <c r="A9399" i="1"/>
  <c r="B9399" i="1"/>
  <c r="A9400" i="1"/>
  <c r="B9400" i="1"/>
  <c r="A9401" i="1"/>
  <c r="B9401" i="1"/>
  <c r="A9402" i="1"/>
  <c r="B9402" i="1"/>
  <c r="A9403" i="1"/>
  <c r="B9403" i="1"/>
  <c r="A9404" i="1"/>
  <c r="B9404" i="1"/>
  <c r="A9405" i="1"/>
  <c r="B9405" i="1"/>
  <c r="A9406" i="1"/>
  <c r="B9406" i="1"/>
  <c r="A9407" i="1"/>
  <c r="B9407" i="1"/>
  <c r="A9408" i="1"/>
  <c r="B9408" i="1"/>
  <c r="A9409" i="1"/>
  <c r="B9409" i="1"/>
  <c r="A9410" i="1"/>
  <c r="B9410" i="1"/>
  <c r="A9411" i="1"/>
  <c r="B9411" i="1"/>
  <c r="A9412" i="1"/>
  <c r="B9412" i="1"/>
  <c r="A9413" i="1"/>
  <c r="B9413" i="1"/>
  <c r="A9414" i="1"/>
  <c r="A9415" i="1"/>
  <c r="B9415" i="1"/>
  <c r="A9416" i="1"/>
  <c r="B9416" i="1"/>
  <c r="A9417" i="1"/>
  <c r="B9417" i="1"/>
  <c r="A9418" i="1"/>
  <c r="B9418" i="1"/>
  <c r="A9419" i="1"/>
  <c r="B9419" i="1"/>
  <c r="A9420" i="1"/>
  <c r="B9420" i="1"/>
  <c r="A9421" i="1"/>
  <c r="B9421" i="1"/>
  <c r="A9422" i="1"/>
  <c r="B9422" i="1"/>
  <c r="A9423" i="1"/>
  <c r="B9423" i="1"/>
  <c r="A9424" i="1"/>
  <c r="B9424" i="1"/>
  <c r="A9425" i="1"/>
  <c r="A9426" i="1"/>
  <c r="B9426" i="1"/>
  <c r="A9427" i="1"/>
  <c r="B9427" i="1"/>
  <c r="A9428" i="1"/>
  <c r="B9428" i="1"/>
  <c r="A9429" i="1"/>
  <c r="B9429" i="1"/>
  <c r="A9430" i="1"/>
  <c r="B9430" i="1"/>
  <c r="A9431" i="1"/>
  <c r="B9431" i="1"/>
  <c r="A9432" i="1"/>
  <c r="B9432" i="1"/>
  <c r="A9433" i="1"/>
  <c r="B9433" i="1"/>
  <c r="A9434" i="1"/>
  <c r="B9434" i="1"/>
  <c r="A9435" i="1"/>
  <c r="B9435" i="1"/>
  <c r="A9436" i="1"/>
  <c r="B9436" i="1"/>
  <c r="A9437" i="1"/>
  <c r="B9437" i="1"/>
  <c r="A9438" i="1"/>
  <c r="B9438" i="1"/>
  <c r="A9439" i="1"/>
  <c r="B9439" i="1"/>
  <c r="A9440" i="1"/>
  <c r="B9440" i="1"/>
  <c r="A9441" i="1"/>
  <c r="B9441" i="1"/>
  <c r="A9442" i="1"/>
  <c r="B9442" i="1"/>
  <c r="A9443" i="1"/>
  <c r="B9443" i="1"/>
  <c r="A9444" i="1"/>
  <c r="B9444" i="1"/>
  <c r="A9445" i="1"/>
  <c r="B9445" i="1"/>
  <c r="A9446" i="1"/>
  <c r="B9446" i="1"/>
  <c r="A9447" i="1"/>
  <c r="B9447" i="1"/>
  <c r="A9448" i="1"/>
  <c r="B9448" i="1"/>
  <c r="A9449" i="1"/>
  <c r="B9449" i="1"/>
  <c r="A9450" i="1"/>
  <c r="B9450" i="1"/>
  <c r="A9451" i="1"/>
  <c r="B9451" i="1"/>
  <c r="A9452" i="1"/>
  <c r="B9452" i="1"/>
  <c r="A9453" i="1"/>
  <c r="B9453" i="1"/>
  <c r="A9454" i="1"/>
  <c r="B9454" i="1"/>
  <c r="A9455" i="1"/>
  <c r="B9455" i="1"/>
  <c r="A9456" i="1"/>
  <c r="B9456" i="1"/>
  <c r="A9457" i="1"/>
  <c r="B9457" i="1"/>
  <c r="A9458" i="1"/>
  <c r="B9458" i="1"/>
  <c r="A9459" i="1"/>
  <c r="B9459" i="1"/>
  <c r="A9460" i="1"/>
  <c r="B9460" i="1"/>
  <c r="A9461" i="1"/>
  <c r="A9462" i="1"/>
  <c r="A9463" i="1"/>
  <c r="A9464" i="1"/>
  <c r="B9464" i="1"/>
  <c r="A9465" i="1"/>
  <c r="A9466" i="1"/>
  <c r="A9467" i="1"/>
  <c r="B9467" i="1"/>
  <c r="A9468" i="1"/>
  <c r="A9469" i="1"/>
  <c r="A9470" i="1"/>
  <c r="B9470" i="1"/>
  <c r="A9471" i="1"/>
  <c r="A9472" i="1"/>
  <c r="B9472" i="1"/>
  <c r="A9473" i="1"/>
  <c r="A9474" i="1"/>
  <c r="A9475" i="1"/>
  <c r="A9476" i="1"/>
  <c r="B9476" i="1"/>
  <c r="A9477" i="1"/>
  <c r="A9478" i="1"/>
  <c r="A9479" i="1"/>
  <c r="B9479" i="1"/>
  <c r="A9480" i="1"/>
  <c r="B9480" i="1"/>
  <c r="A9481" i="1"/>
  <c r="B9481" i="1"/>
  <c r="A9482" i="1"/>
  <c r="B9482" i="1"/>
  <c r="A9483" i="1"/>
  <c r="B9483" i="1"/>
  <c r="A9484" i="1"/>
  <c r="A9485" i="1"/>
  <c r="B9485" i="1"/>
  <c r="A9486" i="1"/>
  <c r="B9486" i="1"/>
  <c r="A9487" i="1"/>
  <c r="B9487" i="1"/>
  <c r="A9488" i="1"/>
  <c r="B9488" i="1"/>
  <c r="A9489" i="1"/>
  <c r="B9489" i="1"/>
  <c r="A9490" i="1"/>
  <c r="B9490" i="1"/>
  <c r="A9491" i="1"/>
  <c r="A9492" i="1"/>
  <c r="B9492" i="1"/>
  <c r="A9493" i="1"/>
  <c r="B9493" i="1"/>
  <c r="A9494" i="1"/>
  <c r="B9494" i="1"/>
  <c r="A9495" i="1"/>
  <c r="B9495" i="1"/>
  <c r="A9496" i="1"/>
  <c r="B9496" i="1"/>
  <c r="A9497" i="1"/>
  <c r="A9498" i="1"/>
  <c r="A9499" i="1"/>
  <c r="B9499" i="1"/>
  <c r="A9500" i="1"/>
  <c r="B9500" i="1"/>
  <c r="A9501" i="1"/>
  <c r="B9501" i="1"/>
  <c r="A9502" i="1"/>
  <c r="A9503" i="1"/>
  <c r="A9504" i="1"/>
  <c r="A9505" i="1"/>
  <c r="B9505" i="1"/>
  <c r="A9506" i="1"/>
  <c r="B9506" i="1"/>
  <c r="A9507" i="1"/>
  <c r="B9507" i="1"/>
  <c r="A9508" i="1"/>
  <c r="B9508" i="1"/>
  <c r="A9509" i="1"/>
  <c r="B9509" i="1"/>
  <c r="A9510" i="1"/>
  <c r="B9510" i="1"/>
  <c r="A9511" i="1"/>
  <c r="B9511" i="1"/>
  <c r="A9512" i="1"/>
  <c r="A9513" i="1"/>
  <c r="B9513" i="1"/>
  <c r="A9514" i="1"/>
  <c r="B9514" i="1"/>
  <c r="A9515" i="1"/>
  <c r="B9515" i="1"/>
  <c r="A9516" i="1"/>
  <c r="B9516" i="1"/>
  <c r="A9517" i="1"/>
  <c r="B9517" i="1"/>
  <c r="A9518" i="1"/>
  <c r="B9518" i="1"/>
  <c r="A9519" i="1"/>
  <c r="B9519" i="1"/>
  <c r="A9520" i="1"/>
  <c r="B9520" i="1"/>
  <c r="A9521" i="1"/>
  <c r="B9521" i="1"/>
  <c r="A9522" i="1"/>
  <c r="B9522" i="1"/>
  <c r="A9523" i="1"/>
  <c r="B9523" i="1"/>
  <c r="A9524" i="1"/>
  <c r="B9524" i="1"/>
  <c r="A9525" i="1"/>
  <c r="B9525" i="1"/>
  <c r="A9526" i="1"/>
  <c r="B9526" i="1"/>
  <c r="A9527" i="1"/>
  <c r="B9527" i="1"/>
  <c r="A9528" i="1"/>
  <c r="B9528" i="1"/>
  <c r="A9529" i="1"/>
  <c r="B9529" i="1"/>
  <c r="A9530" i="1"/>
  <c r="B9530" i="1"/>
  <c r="A9531" i="1"/>
  <c r="B9531" i="1"/>
  <c r="A9532" i="1"/>
  <c r="B9532" i="1"/>
  <c r="A9533" i="1"/>
  <c r="B9533" i="1"/>
  <c r="A9534" i="1"/>
  <c r="B9534" i="1"/>
  <c r="A9535" i="1"/>
  <c r="B9535" i="1"/>
  <c r="A9536" i="1"/>
  <c r="A9537" i="1"/>
  <c r="A9538" i="1"/>
  <c r="A9539" i="1"/>
  <c r="A9540" i="1"/>
  <c r="A9541" i="1"/>
  <c r="A9542" i="1"/>
  <c r="B9542" i="1"/>
  <c r="A9543" i="1"/>
  <c r="B9543" i="1"/>
  <c r="A9544" i="1"/>
  <c r="B9544" i="1"/>
  <c r="A9545" i="1"/>
  <c r="B9545" i="1"/>
  <c r="A9546" i="1"/>
  <c r="B9546" i="1"/>
  <c r="A9547" i="1"/>
  <c r="B9547" i="1"/>
  <c r="A9548" i="1"/>
  <c r="B9548" i="1"/>
  <c r="A9549" i="1"/>
  <c r="A9550" i="1"/>
  <c r="B9550" i="1"/>
  <c r="A9551" i="1"/>
  <c r="A9552" i="1"/>
  <c r="B9552" i="1"/>
  <c r="A9553" i="1"/>
  <c r="A9554" i="1"/>
  <c r="B9554" i="1"/>
  <c r="A9555" i="1"/>
  <c r="B9555" i="1"/>
  <c r="A9556" i="1"/>
  <c r="B9556" i="1"/>
  <c r="A9557" i="1"/>
  <c r="A9558" i="1"/>
  <c r="A9559" i="1"/>
  <c r="B9559" i="1"/>
  <c r="A9560" i="1"/>
  <c r="B9560" i="1"/>
  <c r="A9561" i="1"/>
  <c r="B9561" i="1"/>
  <c r="A9562" i="1"/>
  <c r="B9562" i="1"/>
  <c r="A9563" i="1"/>
  <c r="B9563" i="1"/>
  <c r="A9564" i="1"/>
  <c r="B9564" i="1"/>
  <c r="A9565" i="1"/>
  <c r="B9565" i="1"/>
  <c r="A9566" i="1"/>
  <c r="B9566" i="1"/>
  <c r="A9567" i="1"/>
  <c r="B9567" i="1"/>
  <c r="A9568" i="1"/>
  <c r="B9568" i="1"/>
  <c r="A9569" i="1"/>
  <c r="B9569" i="1"/>
  <c r="A9570" i="1"/>
  <c r="A9571" i="1"/>
  <c r="A9572" i="1"/>
  <c r="B9572" i="1"/>
  <c r="A9573" i="1"/>
  <c r="B9573" i="1"/>
  <c r="A9574" i="1"/>
  <c r="A9575" i="1"/>
  <c r="B9575" i="1"/>
  <c r="A9576" i="1"/>
  <c r="B9576" i="1"/>
  <c r="A9577" i="1"/>
  <c r="B9577" i="1"/>
  <c r="A9578" i="1"/>
  <c r="B9578" i="1"/>
  <c r="A9579" i="1"/>
  <c r="A9580" i="1"/>
  <c r="A9581" i="1"/>
  <c r="A9582" i="1"/>
  <c r="A9583" i="1"/>
  <c r="A9584" i="1"/>
  <c r="A9585" i="1"/>
  <c r="B9585" i="1"/>
  <c r="A9586" i="1"/>
  <c r="B9586" i="1"/>
  <c r="A9587" i="1"/>
  <c r="A9588" i="1"/>
  <c r="A9589" i="1"/>
  <c r="A9590" i="1"/>
  <c r="A9591" i="1"/>
  <c r="B9591" i="1"/>
  <c r="A9592" i="1"/>
  <c r="B9592" i="1"/>
  <c r="A9593" i="1"/>
  <c r="B9593" i="1"/>
  <c r="A9594" i="1"/>
  <c r="A9595" i="1"/>
  <c r="B9595" i="1"/>
  <c r="A9596" i="1"/>
  <c r="B9596" i="1"/>
  <c r="A9597" i="1"/>
  <c r="B9597" i="1"/>
  <c r="A9598" i="1"/>
  <c r="B9598" i="1"/>
  <c r="A9599" i="1"/>
  <c r="A9600" i="1"/>
  <c r="A9601" i="1"/>
  <c r="B9601" i="1"/>
  <c r="A9602" i="1"/>
  <c r="B9602" i="1"/>
  <c r="A9603" i="1"/>
  <c r="A9604" i="1"/>
  <c r="A9605" i="1"/>
  <c r="A9606" i="1"/>
  <c r="B9606" i="1"/>
  <c r="A9607" i="1"/>
  <c r="A9608" i="1"/>
  <c r="B9608" i="1"/>
  <c r="A9609" i="1"/>
  <c r="A9610" i="1"/>
  <c r="A9611" i="1"/>
  <c r="B9611" i="1"/>
  <c r="A9612" i="1"/>
  <c r="B9612" i="1"/>
  <c r="A9613" i="1"/>
  <c r="B9613" i="1"/>
  <c r="A9614" i="1"/>
  <c r="B9614" i="1"/>
  <c r="A9615" i="1"/>
  <c r="B9615" i="1"/>
  <c r="A9616" i="1"/>
  <c r="B9616" i="1"/>
  <c r="A9617" i="1"/>
  <c r="A9618" i="1"/>
  <c r="B9618" i="1"/>
  <c r="A9619" i="1"/>
  <c r="B9619" i="1"/>
  <c r="A9620" i="1"/>
  <c r="A9621" i="1"/>
  <c r="B9621" i="1"/>
  <c r="A9622" i="1"/>
  <c r="B9622" i="1"/>
  <c r="A9623" i="1"/>
  <c r="B9623" i="1"/>
  <c r="A9624" i="1"/>
  <c r="B9624" i="1"/>
  <c r="A9625" i="1"/>
  <c r="B9625" i="1"/>
  <c r="A9626" i="1"/>
  <c r="A9627" i="1"/>
  <c r="B9627" i="1"/>
  <c r="A9628" i="1"/>
  <c r="B9628" i="1"/>
  <c r="A9629" i="1"/>
  <c r="B9629" i="1"/>
  <c r="A9630" i="1"/>
  <c r="B9630" i="1"/>
  <c r="A9631" i="1"/>
  <c r="A9632" i="1"/>
  <c r="B9632" i="1"/>
  <c r="A9633" i="1"/>
  <c r="B9633" i="1"/>
  <c r="A9634" i="1"/>
  <c r="A9635" i="1"/>
  <c r="B9635" i="1"/>
  <c r="A9636" i="1"/>
  <c r="B9636" i="1"/>
  <c r="A9637" i="1"/>
  <c r="B9637" i="1"/>
  <c r="A9638" i="1"/>
  <c r="B9638" i="1"/>
  <c r="A9639" i="1"/>
  <c r="B9639" i="1"/>
  <c r="A9640" i="1"/>
  <c r="B9640" i="1"/>
  <c r="A9641" i="1"/>
  <c r="B9641" i="1"/>
  <c r="A9642" i="1"/>
  <c r="B9642" i="1"/>
  <c r="A9643" i="1"/>
  <c r="B9643" i="1"/>
  <c r="A9644" i="1"/>
  <c r="B9644" i="1"/>
  <c r="A9645" i="1"/>
  <c r="B9645" i="1"/>
  <c r="A9646" i="1"/>
  <c r="B9646" i="1"/>
  <c r="A9647" i="1"/>
  <c r="B9647" i="1"/>
  <c r="A9648" i="1"/>
  <c r="B9648" i="1"/>
  <c r="A9649" i="1"/>
  <c r="B9649" i="1"/>
  <c r="A9650" i="1"/>
  <c r="B9650" i="1"/>
  <c r="A9651" i="1"/>
  <c r="B9651" i="1"/>
  <c r="A9652" i="1"/>
  <c r="B9652" i="1"/>
  <c r="A9653" i="1"/>
  <c r="B9653" i="1"/>
  <c r="A9654" i="1"/>
  <c r="B9654" i="1"/>
  <c r="A9655" i="1"/>
  <c r="B9655" i="1"/>
  <c r="A9656" i="1"/>
  <c r="A9657" i="1"/>
  <c r="B9657" i="1"/>
  <c r="A9658" i="1"/>
  <c r="A9659" i="1"/>
  <c r="B9659" i="1"/>
  <c r="A9660" i="1"/>
  <c r="B9660" i="1"/>
  <c r="A9661" i="1"/>
  <c r="B9661" i="1"/>
  <c r="A9662" i="1"/>
  <c r="B9662" i="1"/>
  <c r="A9663" i="1"/>
  <c r="B9663" i="1"/>
  <c r="A9664" i="1"/>
  <c r="B9664" i="1"/>
  <c r="A9665" i="1"/>
  <c r="B9665" i="1"/>
  <c r="A9666" i="1"/>
  <c r="B9666" i="1"/>
  <c r="A9667" i="1"/>
  <c r="B9667" i="1"/>
  <c r="A9668" i="1"/>
  <c r="B9668" i="1"/>
  <c r="A9669" i="1"/>
  <c r="B9669" i="1"/>
  <c r="A9670" i="1"/>
  <c r="B9670" i="1"/>
  <c r="A9671" i="1"/>
  <c r="B9671" i="1"/>
  <c r="A9672" i="1"/>
  <c r="B9672" i="1"/>
  <c r="A9673" i="1"/>
  <c r="B9673" i="1"/>
  <c r="A9674" i="1"/>
  <c r="A9675" i="1"/>
  <c r="A9676" i="1"/>
  <c r="B9676" i="1"/>
  <c r="A9677" i="1"/>
  <c r="B9677" i="1"/>
  <c r="A9678" i="1"/>
  <c r="A9679" i="1"/>
  <c r="A9680" i="1"/>
  <c r="A9681" i="1"/>
  <c r="A9682" i="1"/>
  <c r="A9683" i="1"/>
  <c r="B9683" i="1"/>
  <c r="A9684" i="1"/>
  <c r="A9685" i="1"/>
  <c r="B9685" i="1"/>
  <c r="A9686" i="1"/>
  <c r="B9686" i="1"/>
  <c r="A9687" i="1"/>
  <c r="B9687" i="1"/>
  <c r="A9688" i="1"/>
  <c r="A9689" i="1"/>
  <c r="A9690" i="1"/>
  <c r="B9690" i="1"/>
  <c r="A9691" i="1"/>
  <c r="B9691" i="1"/>
  <c r="A9692" i="1"/>
  <c r="A9693" i="1"/>
  <c r="A9694" i="1"/>
  <c r="B9694" i="1"/>
  <c r="A9695" i="1"/>
  <c r="B9695" i="1"/>
  <c r="A9696" i="1"/>
  <c r="B9696" i="1"/>
  <c r="A9697" i="1"/>
  <c r="B9697" i="1"/>
  <c r="A9698" i="1"/>
  <c r="B9698" i="1"/>
  <c r="A9699" i="1"/>
  <c r="A9700" i="1"/>
  <c r="B9700" i="1"/>
  <c r="A9701" i="1"/>
  <c r="B9701" i="1"/>
  <c r="A9702" i="1"/>
  <c r="B9702" i="1"/>
  <c r="A9703" i="1"/>
  <c r="A9704" i="1"/>
  <c r="B9704" i="1"/>
  <c r="A9705" i="1"/>
  <c r="A9706" i="1"/>
  <c r="B9706" i="1"/>
  <c r="A9707" i="1"/>
  <c r="B9707" i="1"/>
  <c r="A9708" i="1"/>
  <c r="B9708" i="1"/>
  <c r="A9709" i="1"/>
  <c r="A9710" i="1"/>
  <c r="B9710" i="1"/>
  <c r="A9711" i="1"/>
  <c r="B9711" i="1"/>
  <c r="A9712" i="1"/>
  <c r="B9712" i="1"/>
  <c r="A9713" i="1"/>
  <c r="B9713" i="1"/>
  <c r="A9714" i="1"/>
  <c r="B9714" i="1"/>
  <c r="A9715" i="1"/>
  <c r="B9715" i="1"/>
  <c r="A9716" i="1"/>
  <c r="B9716" i="1"/>
  <c r="A9717" i="1"/>
  <c r="B9717" i="1"/>
  <c r="A9718" i="1"/>
  <c r="B9718" i="1"/>
  <c r="A9719" i="1"/>
  <c r="B9719" i="1"/>
  <c r="A9720" i="1"/>
  <c r="A9721" i="1"/>
  <c r="B9721" i="1"/>
  <c r="A9722" i="1"/>
  <c r="B9722" i="1"/>
  <c r="A9723" i="1"/>
  <c r="A9724" i="1"/>
  <c r="B9724" i="1"/>
  <c r="A9725" i="1"/>
  <c r="A9726" i="1"/>
  <c r="B9726" i="1"/>
  <c r="A9727" i="1"/>
  <c r="B9727" i="1"/>
  <c r="A9728" i="1"/>
  <c r="A9729" i="1"/>
  <c r="B9729" i="1"/>
  <c r="A9730" i="1"/>
  <c r="B9730" i="1"/>
  <c r="A9731" i="1"/>
  <c r="B9731" i="1"/>
  <c r="A9732" i="1"/>
  <c r="B9732" i="1"/>
  <c r="A9733" i="1"/>
  <c r="B9733" i="1"/>
  <c r="A9734" i="1"/>
  <c r="A9735" i="1"/>
  <c r="B9735" i="1"/>
  <c r="A9736" i="1"/>
  <c r="B9736" i="1"/>
  <c r="A9737" i="1"/>
  <c r="B9737" i="1"/>
  <c r="A9738" i="1"/>
  <c r="B9738" i="1"/>
  <c r="A9739" i="1"/>
  <c r="B9739" i="1"/>
  <c r="A9740" i="1"/>
  <c r="A9741" i="1"/>
  <c r="A9742" i="1"/>
  <c r="B9742" i="1"/>
  <c r="A9743" i="1"/>
  <c r="B9743" i="1"/>
  <c r="A9744" i="1"/>
  <c r="B9744" i="1"/>
  <c r="A9745" i="1"/>
  <c r="B9745" i="1"/>
  <c r="A9746" i="1"/>
  <c r="B9746" i="1"/>
  <c r="A9747" i="1"/>
  <c r="A9748" i="1"/>
  <c r="B9748" i="1"/>
  <c r="A9749" i="1"/>
  <c r="A9750" i="1"/>
  <c r="A9751" i="1"/>
  <c r="A9752" i="1"/>
  <c r="A9753" i="1"/>
  <c r="B9753" i="1"/>
  <c r="A9754" i="1"/>
  <c r="A9755" i="1"/>
  <c r="B9755" i="1"/>
  <c r="A9756" i="1"/>
  <c r="A9757" i="1"/>
  <c r="A9758" i="1"/>
  <c r="B9758" i="1"/>
  <c r="A9759" i="1"/>
  <c r="A9760" i="1"/>
  <c r="A9761" i="1"/>
  <c r="B9761" i="1"/>
  <c r="A9762" i="1"/>
  <c r="A9763" i="1"/>
  <c r="B9763" i="1"/>
  <c r="A9764" i="1"/>
  <c r="B9764" i="1"/>
  <c r="A9765" i="1"/>
  <c r="A9766" i="1"/>
  <c r="B9766" i="1"/>
  <c r="A9767" i="1"/>
  <c r="A9768" i="1"/>
  <c r="B9768" i="1"/>
  <c r="A9769" i="1"/>
  <c r="B9769" i="1"/>
  <c r="A9770" i="1"/>
  <c r="B9770" i="1"/>
  <c r="A9771" i="1"/>
  <c r="B9771" i="1"/>
  <c r="A9772" i="1"/>
  <c r="B9772" i="1"/>
  <c r="A9773" i="1"/>
  <c r="A9774" i="1"/>
  <c r="A9775" i="1"/>
  <c r="B9775" i="1"/>
  <c r="A9776" i="1"/>
  <c r="A9777" i="1"/>
  <c r="A9778" i="1"/>
  <c r="B9778" i="1"/>
  <c r="A9779" i="1"/>
  <c r="B9779" i="1"/>
  <c r="A9780" i="1"/>
  <c r="A9781" i="1"/>
  <c r="A9782" i="1"/>
  <c r="A9783" i="1"/>
  <c r="A9784" i="1"/>
  <c r="A9785" i="1"/>
  <c r="B9785" i="1"/>
  <c r="A9786" i="1"/>
  <c r="B9786" i="1"/>
  <c r="A9787" i="1"/>
  <c r="B9787" i="1"/>
  <c r="A9788" i="1"/>
  <c r="B9788" i="1"/>
  <c r="A9789" i="1"/>
  <c r="A9790" i="1"/>
  <c r="B9790" i="1"/>
  <c r="A9791" i="1"/>
  <c r="B9791" i="1"/>
  <c r="A9792" i="1"/>
  <c r="B9792" i="1"/>
  <c r="A9793" i="1"/>
  <c r="B9793" i="1"/>
  <c r="A9794" i="1"/>
  <c r="A9795" i="1"/>
  <c r="A9796" i="1"/>
  <c r="A9797" i="1"/>
  <c r="B9797" i="1"/>
  <c r="A9798" i="1"/>
  <c r="B9798" i="1"/>
  <c r="A9799" i="1"/>
  <c r="A9800" i="1"/>
  <c r="B9800" i="1"/>
  <c r="A9801" i="1"/>
  <c r="B9801" i="1"/>
  <c r="A9802" i="1"/>
  <c r="B9802" i="1"/>
  <c r="A9803" i="1"/>
  <c r="B9803" i="1"/>
  <c r="A9804" i="1"/>
  <c r="B9804" i="1"/>
  <c r="A9805" i="1"/>
  <c r="B9805" i="1"/>
  <c r="A9806" i="1"/>
  <c r="B9806" i="1"/>
  <c r="A9807" i="1"/>
  <c r="B9807" i="1"/>
  <c r="A9808" i="1"/>
  <c r="B9808" i="1"/>
  <c r="A9809" i="1"/>
  <c r="B9809" i="1"/>
  <c r="A9810" i="1"/>
  <c r="B9810" i="1"/>
  <c r="A9811" i="1"/>
  <c r="B9811" i="1"/>
  <c r="A9812" i="1"/>
  <c r="B9812" i="1"/>
  <c r="A9813" i="1"/>
  <c r="B9813" i="1"/>
  <c r="A9814" i="1"/>
  <c r="B9814" i="1"/>
  <c r="A9815" i="1"/>
  <c r="B9815" i="1"/>
  <c r="A9816" i="1"/>
  <c r="B9816" i="1"/>
  <c r="A9817" i="1"/>
  <c r="B9817" i="1"/>
  <c r="A9818" i="1"/>
  <c r="B9818" i="1"/>
  <c r="A9819" i="1"/>
  <c r="B9819" i="1"/>
  <c r="A9820" i="1"/>
  <c r="B9820" i="1"/>
  <c r="A9821" i="1"/>
  <c r="B9821" i="1"/>
  <c r="A9822" i="1"/>
  <c r="B9822" i="1"/>
  <c r="A9823" i="1"/>
  <c r="B9823" i="1"/>
  <c r="A9824" i="1"/>
  <c r="A9825" i="1"/>
  <c r="A9826" i="1"/>
  <c r="A9827" i="1"/>
  <c r="B9827" i="1"/>
  <c r="A9828" i="1"/>
  <c r="B9828" i="1"/>
  <c r="A9829" i="1"/>
  <c r="B9829" i="1"/>
  <c r="A9830" i="1"/>
  <c r="A9831" i="1"/>
  <c r="A9832" i="1"/>
  <c r="B9832" i="1"/>
  <c r="A9833" i="1"/>
  <c r="B9833" i="1"/>
  <c r="A9834" i="1"/>
  <c r="B9834" i="1"/>
  <c r="A9835" i="1"/>
  <c r="B9835" i="1"/>
  <c r="A9836" i="1"/>
  <c r="B9836" i="1"/>
  <c r="A9837" i="1"/>
  <c r="B9837" i="1"/>
  <c r="A9838" i="1"/>
  <c r="B9838" i="1"/>
  <c r="A9839" i="1"/>
  <c r="B9839" i="1"/>
  <c r="A9840" i="1"/>
  <c r="A9841" i="1"/>
  <c r="B9841" i="1"/>
  <c r="A9842" i="1"/>
  <c r="B9842" i="1"/>
  <c r="A9843" i="1"/>
  <c r="A9844" i="1"/>
  <c r="A9845" i="1"/>
  <c r="A9846" i="1"/>
  <c r="B9846" i="1"/>
  <c r="A9847" i="1"/>
  <c r="A9848" i="1"/>
  <c r="A9849" i="1"/>
  <c r="A9850" i="1"/>
  <c r="B9850" i="1"/>
  <c r="A9851" i="1"/>
  <c r="A9852" i="1"/>
  <c r="B9852" i="1"/>
  <c r="A9853" i="1"/>
  <c r="B9853" i="1"/>
  <c r="A9854" i="1"/>
  <c r="B9854" i="1"/>
  <c r="A9855" i="1"/>
  <c r="B9855" i="1"/>
  <c r="A9856" i="1"/>
  <c r="B9856" i="1"/>
  <c r="A9857" i="1"/>
  <c r="A9858" i="1"/>
  <c r="B9858" i="1"/>
  <c r="A9859" i="1"/>
  <c r="B9859" i="1"/>
  <c r="A9860" i="1"/>
  <c r="B9860" i="1"/>
  <c r="A9861" i="1"/>
  <c r="B9861" i="1"/>
  <c r="A9862" i="1"/>
  <c r="B9862" i="1"/>
  <c r="A9863" i="1"/>
  <c r="B9863" i="1"/>
  <c r="A9864" i="1"/>
  <c r="B9864" i="1"/>
  <c r="A9865" i="1"/>
  <c r="B9865" i="1"/>
  <c r="A9866" i="1"/>
  <c r="B9866" i="1"/>
  <c r="A9867" i="1"/>
  <c r="A9868" i="1"/>
  <c r="B9868" i="1"/>
  <c r="A9869" i="1"/>
  <c r="A9870" i="1"/>
  <c r="B9870" i="1"/>
  <c r="A9871" i="1"/>
  <c r="B9871" i="1"/>
  <c r="A9872" i="1"/>
  <c r="B9872" i="1"/>
  <c r="A9873" i="1"/>
  <c r="B9873" i="1"/>
  <c r="A9874" i="1"/>
  <c r="B9874" i="1"/>
  <c r="A9875" i="1"/>
  <c r="B9875" i="1"/>
  <c r="A9876" i="1"/>
  <c r="A9877" i="1"/>
  <c r="B9877" i="1"/>
  <c r="A9878" i="1"/>
  <c r="B9878" i="1"/>
  <c r="A9879" i="1"/>
  <c r="B9879" i="1"/>
  <c r="A9880" i="1"/>
  <c r="A9881" i="1"/>
  <c r="B9881" i="1"/>
  <c r="A9882" i="1"/>
  <c r="B9882" i="1"/>
  <c r="A9883" i="1"/>
  <c r="A9884" i="1"/>
  <c r="B9884" i="1"/>
  <c r="A9885" i="1"/>
  <c r="B9885" i="1"/>
  <c r="A9886" i="1"/>
  <c r="B9886" i="1"/>
  <c r="A9887" i="1"/>
  <c r="A9888" i="1"/>
  <c r="A9889" i="1"/>
  <c r="A9890" i="1"/>
  <c r="A9891" i="1"/>
  <c r="A9892" i="1"/>
  <c r="A9893" i="1"/>
  <c r="B9893" i="1"/>
  <c r="A9894" i="1"/>
  <c r="B9894" i="1"/>
  <c r="A9895" i="1"/>
  <c r="B9895" i="1"/>
  <c r="A9896" i="1"/>
  <c r="B9896" i="1"/>
  <c r="A9897" i="1"/>
  <c r="B9897" i="1"/>
  <c r="A9898" i="1"/>
  <c r="A9899" i="1"/>
  <c r="A9900" i="1"/>
  <c r="B9900" i="1"/>
  <c r="A9901" i="1"/>
  <c r="B9901" i="1"/>
  <c r="A9902" i="1"/>
  <c r="A9903" i="1"/>
  <c r="B9903" i="1"/>
  <c r="A9904" i="1"/>
  <c r="A9905" i="1"/>
  <c r="B9905" i="1"/>
  <c r="A9906" i="1"/>
  <c r="B9906" i="1"/>
  <c r="A9907" i="1"/>
  <c r="B9907" i="1"/>
  <c r="A9908" i="1"/>
  <c r="A9909" i="1"/>
  <c r="B9909" i="1"/>
  <c r="A9910" i="1"/>
  <c r="B9910" i="1"/>
  <c r="A9911" i="1"/>
  <c r="B9911" i="1"/>
  <c r="A9912" i="1"/>
  <c r="A9913" i="1"/>
  <c r="B9913" i="1"/>
  <c r="A9914" i="1"/>
  <c r="B9914" i="1"/>
  <c r="A9915" i="1"/>
  <c r="B9915" i="1"/>
  <c r="A9916" i="1"/>
  <c r="B9916" i="1"/>
  <c r="A9917" i="1"/>
  <c r="B9917" i="1"/>
  <c r="A9918" i="1"/>
  <c r="B9918" i="1"/>
  <c r="A9919" i="1"/>
  <c r="B9919" i="1"/>
  <c r="A9920" i="1"/>
  <c r="B9920" i="1"/>
  <c r="A9921" i="1"/>
  <c r="B9921" i="1"/>
  <c r="A9922" i="1"/>
  <c r="B9922" i="1"/>
  <c r="A9923" i="1"/>
  <c r="B9923" i="1"/>
  <c r="A9924" i="1"/>
  <c r="B9924" i="1"/>
  <c r="A9925" i="1"/>
  <c r="A9926" i="1"/>
  <c r="B9926" i="1"/>
  <c r="A9927" i="1"/>
  <c r="B9927" i="1"/>
  <c r="A9928" i="1"/>
  <c r="B9928" i="1"/>
  <c r="A9929" i="1"/>
  <c r="B9929" i="1"/>
  <c r="A9930" i="1"/>
  <c r="A9931" i="1"/>
  <c r="A9932" i="1"/>
  <c r="A9933" i="1"/>
  <c r="A9934" i="1"/>
  <c r="A9935" i="1"/>
  <c r="A9936" i="1"/>
  <c r="B9936" i="1"/>
  <c r="A9937" i="1"/>
  <c r="B9937" i="1"/>
  <c r="A9938" i="1"/>
  <c r="B9938" i="1"/>
  <c r="A9939" i="1"/>
  <c r="A9940" i="1"/>
  <c r="B9940" i="1"/>
  <c r="A9941" i="1"/>
  <c r="A9942" i="1"/>
  <c r="B9942" i="1"/>
  <c r="A9943" i="1"/>
  <c r="B9943" i="1"/>
  <c r="A9944" i="1"/>
  <c r="B9944" i="1"/>
  <c r="A9945" i="1"/>
  <c r="B9945" i="1"/>
  <c r="A9946" i="1"/>
  <c r="B9946" i="1"/>
  <c r="A9947" i="1"/>
  <c r="B9947" i="1"/>
  <c r="A9948" i="1"/>
  <c r="B9948" i="1"/>
  <c r="A9949" i="1"/>
  <c r="B9949" i="1"/>
  <c r="A9950" i="1"/>
  <c r="B9950" i="1"/>
  <c r="A9951" i="1"/>
  <c r="B9951" i="1"/>
  <c r="A9952" i="1"/>
  <c r="B9952" i="1"/>
  <c r="A9953" i="1"/>
  <c r="B9953" i="1"/>
  <c r="A9954" i="1"/>
  <c r="A9955" i="1"/>
  <c r="B9955" i="1"/>
  <c r="A9956" i="1"/>
  <c r="A9957" i="1"/>
  <c r="B9957" i="1"/>
  <c r="A9958" i="1"/>
  <c r="B9958" i="1"/>
  <c r="A9959" i="1"/>
  <c r="B9959" i="1"/>
  <c r="A9960" i="1"/>
  <c r="B9960" i="1"/>
  <c r="A9961" i="1"/>
  <c r="B9961" i="1"/>
  <c r="A9962" i="1"/>
  <c r="B9962" i="1"/>
  <c r="A9963" i="1"/>
  <c r="B9963" i="1"/>
  <c r="A9964" i="1"/>
  <c r="B9964" i="1"/>
  <c r="A9965" i="1"/>
  <c r="B9965" i="1"/>
  <c r="A9966" i="1"/>
  <c r="B9966" i="1"/>
  <c r="A9967" i="1"/>
  <c r="B9967" i="1"/>
  <c r="A9968" i="1"/>
  <c r="B9968" i="1"/>
  <c r="A9969" i="1"/>
  <c r="B9969" i="1"/>
  <c r="A9970" i="1"/>
  <c r="B9970" i="1"/>
  <c r="A9971" i="1"/>
  <c r="B9971" i="1"/>
  <c r="A9972" i="1"/>
  <c r="B9972" i="1"/>
  <c r="A9973" i="1"/>
  <c r="B9973" i="1"/>
  <c r="A9974" i="1"/>
  <c r="A9975" i="1"/>
  <c r="B9975" i="1"/>
  <c r="A9976" i="1"/>
  <c r="A9977" i="1"/>
  <c r="B9977" i="1"/>
  <c r="A9978" i="1"/>
  <c r="B9978" i="1"/>
  <c r="A9979" i="1"/>
  <c r="B9979" i="1"/>
  <c r="A9980" i="1"/>
  <c r="B9980" i="1"/>
  <c r="A9981" i="1"/>
  <c r="A9982" i="1"/>
  <c r="A9983" i="1"/>
  <c r="B9983" i="1"/>
  <c r="A9984" i="1"/>
  <c r="B9984" i="1"/>
  <c r="A9985" i="1"/>
  <c r="B9985" i="1"/>
  <c r="A9986" i="1"/>
  <c r="B9986" i="1"/>
  <c r="A9987" i="1"/>
  <c r="B9987" i="1"/>
  <c r="A9988" i="1"/>
  <c r="B9988" i="1"/>
  <c r="A9989" i="1"/>
  <c r="B9989" i="1"/>
  <c r="A9990" i="1"/>
  <c r="A9991" i="1"/>
  <c r="B9991" i="1"/>
  <c r="A9992" i="1"/>
  <c r="B9992" i="1"/>
  <c r="A9993" i="1"/>
  <c r="A9994" i="1"/>
  <c r="B9994" i="1"/>
  <c r="A9995" i="1"/>
  <c r="B9995" i="1"/>
  <c r="A9996" i="1"/>
  <c r="B9996" i="1"/>
  <c r="A9997" i="1"/>
  <c r="B9997" i="1"/>
  <c r="A9998" i="1"/>
  <c r="B9998" i="1"/>
  <c r="A9999" i="1"/>
  <c r="A10000" i="1"/>
  <c r="A10001" i="1"/>
  <c r="B10001" i="1"/>
  <c r="A10002" i="1"/>
  <c r="B10002" i="1"/>
  <c r="A10003" i="1"/>
  <c r="B10003" i="1"/>
  <c r="A10004" i="1"/>
  <c r="B10004" i="1"/>
  <c r="A10005" i="1"/>
  <c r="B10005" i="1"/>
  <c r="A10006" i="1"/>
  <c r="B10006" i="1"/>
  <c r="A10007" i="1"/>
  <c r="B10007" i="1"/>
  <c r="A10008" i="1"/>
  <c r="B10008" i="1"/>
  <c r="A10009" i="1"/>
  <c r="B10009" i="1"/>
  <c r="A10010" i="1"/>
  <c r="B10010" i="1"/>
  <c r="A10011" i="1"/>
  <c r="A10012" i="1"/>
  <c r="A10013" i="1"/>
  <c r="A10014" i="1"/>
  <c r="A10015" i="1"/>
  <c r="A10016" i="1"/>
  <c r="A10017" i="1"/>
  <c r="A10018" i="1"/>
  <c r="B10018" i="1"/>
  <c r="A10019" i="1"/>
  <c r="A10020" i="1"/>
  <c r="A10021" i="1"/>
  <c r="A10022" i="1"/>
  <c r="A10023" i="1"/>
  <c r="B10023" i="1"/>
  <c r="A10024" i="1"/>
  <c r="B10024" i="1"/>
  <c r="A10025" i="1"/>
  <c r="A10026" i="1"/>
  <c r="B10026" i="1"/>
  <c r="A10027" i="1"/>
  <c r="B10027" i="1"/>
  <c r="A10028" i="1"/>
  <c r="A10029" i="1"/>
  <c r="A10030" i="1"/>
  <c r="B10030" i="1"/>
  <c r="A10031" i="1"/>
  <c r="A10032" i="1"/>
  <c r="B10032" i="1"/>
  <c r="A10033" i="1"/>
  <c r="B10033" i="1"/>
  <c r="A10034" i="1"/>
  <c r="B10034" i="1"/>
  <c r="A10035" i="1"/>
  <c r="B10035" i="1"/>
  <c r="A10036" i="1"/>
  <c r="B10036" i="1"/>
  <c r="A10037" i="1"/>
  <c r="B10037" i="1"/>
  <c r="A10038" i="1"/>
  <c r="B10038" i="1"/>
  <c r="A10039" i="1"/>
  <c r="B10039" i="1"/>
  <c r="A10040" i="1"/>
  <c r="B10040" i="1"/>
  <c r="A10041" i="1"/>
  <c r="B10041" i="1"/>
  <c r="A10042" i="1"/>
  <c r="B10042" i="1"/>
  <c r="A10043" i="1"/>
  <c r="B10043" i="1"/>
  <c r="A10044" i="1"/>
  <c r="B10044" i="1"/>
  <c r="A10045" i="1"/>
  <c r="B10045" i="1"/>
  <c r="A10046" i="1"/>
  <c r="B10046" i="1"/>
  <c r="A10047" i="1"/>
  <c r="B10047" i="1"/>
  <c r="A10048" i="1"/>
  <c r="B10048" i="1"/>
  <c r="A10049" i="1"/>
  <c r="B10049" i="1"/>
  <c r="A10050" i="1"/>
  <c r="B10050" i="1"/>
  <c r="A10051" i="1"/>
  <c r="A10052" i="1"/>
  <c r="B10052" i="1"/>
  <c r="A10053" i="1"/>
  <c r="B10053" i="1"/>
  <c r="A10054" i="1"/>
  <c r="B10054" i="1"/>
  <c r="A10055" i="1"/>
  <c r="B10055" i="1"/>
  <c r="A10056" i="1"/>
  <c r="B10056" i="1"/>
  <c r="A10057" i="1"/>
  <c r="B10057" i="1"/>
  <c r="A10058" i="1"/>
  <c r="B10058" i="1"/>
  <c r="A10059" i="1"/>
  <c r="B10059" i="1"/>
  <c r="A10060" i="1"/>
  <c r="B10060" i="1"/>
  <c r="A10061" i="1"/>
  <c r="B10061" i="1"/>
  <c r="A10062" i="1"/>
  <c r="B10062" i="1"/>
  <c r="A10063" i="1"/>
  <c r="B10063" i="1"/>
  <c r="A10064" i="1"/>
  <c r="B10064" i="1"/>
  <c r="A10065" i="1"/>
  <c r="B10065" i="1"/>
  <c r="A10066" i="1"/>
  <c r="B10066" i="1"/>
  <c r="A10067" i="1"/>
  <c r="B10067" i="1"/>
  <c r="A10068" i="1"/>
  <c r="B10068" i="1"/>
  <c r="A10069" i="1"/>
  <c r="B10069" i="1"/>
  <c r="A10070" i="1"/>
  <c r="B10070" i="1"/>
  <c r="A10071" i="1"/>
  <c r="B10071" i="1"/>
  <c r="A10072" i="1"/>
  <c r="B10072" i="1"/>
  <c r="A10073" i="1"/>
  <c r="B10073" i="1"/>
  <c r="A10074" i="1"/>
  <c r="B10074" i="1"/>
  <c r="A10075" i="1"/>
  <c r="B10075" i="1"/>
  <c r="A10076" i="1"/>
  <c r="B10076" i="1"/>
  <c r="A10077" i="1"/>
  <c r="B10077" i="1"/>
  <c r="A10078" i="1"/>
  <c r="B10078" i="1"/>
  <c r="A10079" i="1"/>
  <c r="A10080" i="1"/>
  <c r="B10080" i="1"/>
  <c r="A10081" i="1"/>
  <c r="B10081" i="1"/>
  <c r="A10082" i="1"/>
  <c r="B10082" i="1"/>
  <c r="A10083" i="1"/>
  <c r="B10083" i="1"/>
  <c r="A10084" i="1"/>
  <c r="B10084" i="1"/>
  <c r="A10085" i="1"/>
  <c r="B10085" i="1"/>
  <c r="A10086" i="1"/>
  <c r="B10086" i="1"/>
  <c r="A10087" i="1"/>
  <c r="B10087" i="1"/>
  <c r="A10088" i="1"/>
  <c r="B10088" i="1"/>
  <c r="A10089" i="1"/>
  <c r="A10090" i="1"/>
  <c r="B10090" i="1"/>
  <c r="A10091" i="1"/>
  <c r="B10091" i="1"/>
  <c r="A10092" i="1"/>
  <c r="B10092" i="1"/>
  <c r="A10093" i="1"/>
  <c r="B10093" i="1"/>
  <c r="A10094" i="1"/>
  <c r="B10094" i="1"/>
  <c r="A10095" i="1"/>
  <c r="B10095" i="1"/>
  <c r="A10096" i="1"/>
  <c r="B10096" i="1"/>
  <c r="A10097" i="1"/>
  <c r="B10097" i="1"/>
  <c r="A10098" i="1"/>
  <c r="B10098" i="1"/>
  <c r="A10099" i="1"/>
  <c r="B10099" i="1"/>
  <c r="A10100" i="1"/>
  <c r="B10100" i="1"/>
  <c r="A10101" i="1"/>
  <c r="B10101" i="1"/>
  <c r="A10102" i="1"/>
  <c r="B10102" i="1"/>
  <c r="A10103" i="1"/>
  <c r="B10103" i="1"/>
  <c r="A10104" i="1"/>
  <c r="B10104" i="1"/>
  <c r="A10105" i="1"/>
  <c r="B10105" i="1"/>
  <c r="A10106" i="1"/>
  <c r="B10106" i="1"/>
  <c r="A10107" i="1"/>
  <c r="B10107" i="1"/>
  <c r="A10108" i="1"/>
  <c r="B10108" i="1"/>
  <c r="A10109" i="1"/>
  <c r="B10109" i="1"/>
  <c r="A10110" i="1"/>
  <c r="B10110" i="1"/>
  <c r="A10111" i="1"/>
  <c r="B10111" i="1"/>
  <c r="A10112" i="1"/>
  <c r="B10112" i="1"/>
  <c r="A10113" i="1"/>
  <c r="B10113" i="1"/>
  <c r="A10114" i="1"/>
  <c r="B10114" i="1"/>
  <c r="A10115" i="1"/>
  <c r="B10115" i="1"/>
  <c r="A10116" i="1"/>
  <c r="B10116" i="1"/>
  <c r="A10117" i="1"/>
  <c r="B10117" i="1"/>
  <c r="A10118" i="1"/>
  <c r="B10118" i="1"/>
  <c r="A10119" i="1"/>
  <c r="B10119" i="1"/>
  <c r="A10120" i="1"/>
  <c r="B10120" i="1"/>
  <c r="A10121" i="1"/>
  <c r="B10121" i="1"/>
  <c r="A10122" i="1"/>
  <c r="B10122" i="1"/>
  <c r="A10123" i="1"/>
  <c r="B10123" i="1"/>
  <c r="A10124" i="1"/>
  <c r="A10125" i="1"/>
  <c r="B10125" i="1"/>
  <c r="A10126" i="1"/>
  <c r="B10126" i="1"/>
  <c r="A10127" i="1"/>
  <c r="B10127" i="1"/>
  <c r="A10128" i="1"/>
  <c r="B10128" i="1"/>
  <c r="A10129" i="1"/>
  <c r="B10129" i="1"/>
  <c r="A10130" i="1"/>
  <c r="B10130" i="1"/>
  <c r="A10131" i="1"/>
  <c r="B10131" i="1"/>
  <c r="A10132" i="1"/>
  <c r="A10133" i="1"/>
  <c r="B10133" i="1"/>
  <c r="A10134" i="1"/>
  <c r="A10135" i="1"/>
  <c r="B10135" i="1"/>
  <c r="A10136" i="1"/>
  <c r="A10137" i="1"/>
  <c r="A10138" i="1"/>
  <c r="B10138" i="1"/>
  <c r="A10139" i="1"/>
  <c r="B10139" i="1"/>
  <c r="A10140" i="1"/>
  <c r="A10141" i="1"/>
  <c r="A10142" i="1"/>
  <c r="B10142" i="1"/>
  <c r="A10143" i="1"/>
  <c r="B10143" i="1"/>
  <c r="A10144" i="1"/>
  <c r="A10145" i="1"/>
  <c r="A10146" i="1"/>
  <c r="B10146" i="1"/>
  <c r="A10147" i="1"/>
  <c r="A10148" i="1"/>
  <c r="B10148" i="1"/>
  <c r="A10149" i="1"/>
  <c r="B10149" i="1"/>
  <c r="A10150" i="1"/>
  <c r="B10150" i="1"/>
  <c r="A10151" i="1"/>
  <c r="B10151" i="1"/>
  <c r="A10152" i="1"/>
  <c r="B10152" i="1"/>
  <c r="A10153" i="1"/>
  <c r="B10153" i="1"/>
  <c r="A10154" i="1"/>
  <c r="B10154" i="1"/>
  <c r="A10155" i="1"/>
  <c r="A10156" i="1"/>
  <c r="B10156" i="1"/>
  <c r="A10157" i="1"/>
  <c r="B10157" i="1"/>
  <c r="A10158" i="1"/>
  <c r="B10158" i="1"/>
  <c r="A10159" i="1"/>
  <c r="B10159" i="1"/>
  <c r="A10160" i="1"/>
  <c r="B10160" i="1"/>
  <c r="A10161" i="1"/>
  <c r="B10161" i="1"/>
  <c r="A10162" i="1"/>
  <c r="B10162" i="1"/>
  <c r="A10163" i="1"/>
  <c r="B10163" i="1"/>
  <c r="A10164" i="1"/>
  <c r="B10164" i="1"/>
  <c r="A10165" i="1"/>
  <c r="B10165" i="1"/>
  <c r="A10166" i="1"/>
  <c r="B10166" i="1"/>
  <c r="A10167" i="1"/>
  <c r="B10167" i="1"/>
  <c r="A10168" i="1"/>
  <c r="B10168" i="1"/>
  <c r="A10169" i="1"/>
  <c r="B10169" i="1"/>
  <c r="A10170" i="1"/>
  <c r="B10170" i="1"/>
  <c r="A10171" i="1"/>
  <c r="A10172" i="1"/>
  <c r="B10172" i="1"/>
  <c r="A10173" i="1"/>
  <c r="B10173" i="1"/>
  <c r="A10174" i="1"/>
  <c r="B10174" i="1"/>
  <c r="A10175" i="1"/>
  <c r="A10176" i="1"/>
  <c r="A10177" i="1"/>
  <c r="B10177" i="1"/>
  <c r="A10178" i="1"/>
  <c r="A10179" i="1"/>
  <c r="A10180" i="1"/>
  <c r="A10181" i="1"/>
  <c r="B10181" i="1"/>
  <c r="A10182" i="1"/>
  <c r="B10182" i="1"/>
  <c r="A10183" i="1"/>
  <c r="A10184" i="1"/>
  <c r="A10185" i="1"/>
  <c r="B10185" i="1"/>
  <c r="A10186" i="1"/>
  <c r="B10186" i="1"/>
  <c r="A10187" i="1"/>
  <c r="B10187" i="1"/>
  <c r="A10188" i="1"/>
  <c r="B10188" i="1"/>
  <c r="A10189" i="1"/>
  <c r="B10189" i="1"/>
  <c r="A10190" i="1"/>
  <c r="B10190" i="1"/>
  <c r="A10191" i="1"/>
  <c r="B10191" i="1"/>
  <c r="A10192" i="1"/>
  <c r="B10192" i="1"/>
  <c r="A10193" i="1"/>
  <c r="B10193" i="1"/>
  <c r="A10194" i="1"/>
  <c r="B10194" i="1"/>
  <c r="A10195" i="1"/>
  <c r="B10195" i="1"/>
  <c r="A10196" i="1"/>
  <c r="A10197" i="1"/>
  <c r="B10197" i="1"/>
  <c r="A10198" i="1"/>
  <c r="A10199" i="1"/>
  <c r="B10199" i="1"/>
  <c r="A10200" i="1"/>
  <c r="A10201" i="1"/>
  <c r="B10201" i="1"/>
  <c r="A10202" i="1"/>
  <c r="A10203" i="1"/>
  <c r="A10204" i="1"/>
  <c r="B10204" i="1"/>
  <c r="A10205" i="1"/>
  <c r="B10205" i="1"/>
  <c r="A10206" i="1"/>
  <c r="B10206" i="1"/>
  <c r="A10207" i="1"/>
  <c r="B10207" i="1"/>
  <c r="A10208" i="1"/>
  <c r="B10208" i="1"/>
  <c r="A10209" i="1"/>
  <c r="B10209" i="1"/>
  <c r="A10210" i="1"/>
  <c r="B10210" i="1"/>
  <c r="A10211" i="1"/>
  <c r="B10211" i="1"/>
  <c r="A10212" i="1"/>
  <c r="B10212" i="1"/>
  <c r="A10213" i="1"/>
  <c r="B10213" i="1"/>
  <c r="A10214" i="1"/>
  <c r="B10214" i="1"/>
  <c r="A10215" i="1"/>
  <c r="B10215" i="1"/>
  <c r="A10216" i="1"/>
  <c r="B10216" i="1"/>
  <c r="A10217" i="1"/>
  <c r="B10217" i="1"/>
  <c r="A10218" i="1"/>
  <c r="B10218" i="1"/>
  <c r="A10219" i="1"/>
  <c r="B10219" i="1"/>
  <c r="A10220" i="1"/>
  <c r="B10220" i="1"/>
  <c r="A10221" i="1"/>
  <c r="B10221" i="1"/>
  <c r="A10222" i="1"/>
  <c r="B10222" i="1"/>
  <c r="A10223" i="1"/>
  <c r="B10223" i="1"/>
  <c r="A10224" i="1"/>
  <c r="B10224" i="1"/>
  <c r="A10225" i="1"/>
  <c r="B10225" i="1"/>
  <c r="A10226" i="1"/>
  <c r="B10226" i="1"/>
  <c r="A10227" i="1"/>
  <c r="B10227" i="1"/>
  <c r="A10228" i="1"/>
  <c r="A10229" i="1"/>
  <c r="B10229" i="1"/>
  <c r="A10230" i="1"/>
  <c r="A10231" i="1"/>
  <c r="B10231" i="1"/>
  <c r="A10232" i="1"/>
  <c r="B10232" i="1"/>
  <c r="A10233" i="1"/>
  <c r="B10233" i="1"/>
  <c r="A10234" i="1"/>
  <c r="B10234" i="1"/>
  <c r="A10235" i="1"/>
  <c r="B10235" i="1"/>
  <c r="A10236" i="1"/>
  <c r="B10236" i="1"/>
  <c r="A10237" i="1"/>
  <c r="B10237" i="1"/>
  <c r="A10238" i="1"/>
  <c r="B10238" i="1"/>
  <c r="A10239" i="1"/>
  <c r="B10239" i="1"/>
  <c r="A10240" i="1"/>
  <c r="B10240" i="1"/>
  <c r="A10241" i="1"/>
  <c r="B10241" i="1"/>
  <c r="A10242" i="1"/>
  <c r="B10242" i="1"/>
  <c r="A10243" i="1"/>
  <c r="A10244" i="1"/>
  <c r="A10245" i="1"/>
  <c r="B10245" i="1"/>
  <c r="A10246" i="1"/>
  <c r="B10246" i="1"/>
  <c r="A10247" i="1"/>
  <c r="B10247" i="1"/>
  <c r="A10248" i="1"/>
  <c r="B10248" i="1"/>
  <c r="A10249" i="1"/>
  <c r="B10249" i="1"/>
  <c r="A10250" i="1"/>
  <c r="B10250" i="1"/>
  <c r="A10251" i="1"/>
  <c r="B10251" i="1"/>
  <c r="A10252" i="1"/>
  <c r="B10252" i="1"/>
  <c r="A10253" i="1"/>
  <c r="B10253" i="1"/>
  <c r="A10254" i="1"/>
  <c r="B10254" i="1"/>
  <c r="A10255" i="1"/>
  <c r="B10255" i="1"/>
  <c r="A10256" i="1"/>
  <c r="B10256" i="1"/>
  <c r="A10257" i="1"/>
  <c r="A10258" i="1"/>
  <c r="B10258" i="1"/>
  <c r="A10259" i="1"/>
  <c r="B10259" i="1"/>
  <c r="A10260" i="1"/>
  <c r="B10260" i="1"/>
  <c r="A10261" i="1"/>
  <c r="B10261" i="1"/>
  <c r="A10262" i="1"/>
  <c r="B10262" i="1"/>
  <c r="A10263" i="1"/>
  <c r="B10263" i="1"/>
  <c r="A10264" i="1"/>
  <c r="B10264" i="1"/>
  <c r="A10265" i="1"/>
  <c r="B10265" i="1"/>
  <c r="A10266" i="1"/>
  <c r="B10266" i="1"/>
  <c r="A10267" i="1"/>
  <c r="A10268" i="1"/>
  <c r="A10269" i="1"/>
  <c r="A10270" i="1"/>
  <c r="B10270" i="1"/>
  <c r="A10271" i="1"/>
  <c r="A10272" i="1"/>
  <c r="A10273" i="1"/>
  <c r="B10273" i="1"/>
  <c r="A10274" i="1"/>
  <c r="B10274" i="1"/>
  <c r="A10275" i="1"/>
  <c r="B10275" i="1"/>
  <c r="A10276" i="1"/>
  <c r="B10276" i="1"/>
  <c r="A10277" i="1"/>
  <c r="B10277" i="1"/>
  <c r="A10278" i="1"/>
  <c r="A10279" i="1"/>
  <c r="A10280" i="1"/>
  <c r="B10280" i="1"/>
  <c r="A10281" i="1"/>
  <c r="B10281" i="1"/>
  <c r="A10282" i="1"/>
  <c r="B10282" i="1"/>
  <c r="A10283" i="1"/>
  <c r="B10283" i="1"/>
  <c r="A10284" i="1"/>
  <c r="B10284" i="1"/>
  <c r="A10285" i="1"/>
  <c r="B10285" i="1"/>
  <c r="A10286" i="1"/>
  <c r="B10286" i="1"/>
  <c r="A10287" i="1"/>
  <c r="B10287" i="1"/>
  <c r="A10288" i="1"/>
  <c r="B10288" i="1"/>
  <c r="A10289" i="1"/>
  <c r="B10289" i="1"/>
  <c r="A10290" i="1"/>
  <c r="B10290" i="1"/>
  <c r="A10291" i="1"/>
  <c r="B10291" i="1"/>
  <c r="A10292" i="1"/>
  <c r="B10292" i="1"/>
  <c r="A10293" i="1"/>
  <c r="B10293" i="1"/>
  <c r="A10294" i="1"/>
  <c r="B10294" i="1"/>
  <c r="A10295" i="1"/>
  <c r="B10295" i="1"/>
  <c r="A10296" i="1"/>
  <c r="B10296" i="1"/>
  <c r="A10297" i="1"/>
  <c r="B10297" i="1"/>
  <c r="A10298" i="1"/>
  <c r="B10298" i="1"/>
  <c r="A10299" i="1"/>
  <c r="B10299" i="1"/>
  <c r="A10300" i="1"/>
  <c r="B10300" i="1"/>
  <c r="A10301" i="1"/>
  <c r="B10301" i="1"/>
  <c r="A10302" i="1"/>
  <c r="B10302" i="1"/>
  <c r="A10303" i="1"/>
  <c r="B10303" i="1"/>
  <c r="A10304" i="1"/>
  <c r="B10304" i="1"/>
  <c r="A10305" i="1"/>
  <c r="B10305" i="1"/>
  <c r="A10306" i="1"/>
  <c r="B10306" i="1"/>
  <c r="A10307" i="1"/>
  <c r="B10307" i="1"/>
  <c r="A10308" i="1"/>
  <c r="B10308" i="1"/>
  <c r="A10309" i="1"/>
  <c r="B10309" i="1"/>
  <c r="A10310" i="1"/>
  <c r="A10311" i="1"/>
  <c r="B10311" i="1"/>
  <c r="A10312" i="1"/>
  <c r="B10312" i="1"/>
  <c r="A10313" i="1"/>
  <c r="B10313" i="1"/>
  <c r="A10314" i="1"/>
  <c r="B10314" i="1"/>
  <c r="A10315" i="1"/>
  <c r="B10315" i="1"/>
  <c r="A10316" i="1"/>
  <c r="B10316" i="1"/>
  <c r="A10317" i="1"/>
  <c r="A10318" i="1"/>
  <c r="B10318" i="1"/>
  <c r="A10319" i="1"/>
  <c r="B10319" i="1"/>
  <c r="A10320" i="1"/>
  <c r="B10320" i="1"/>
  <c r="A10321" i="1"/>
  <c r="B10321" i="1"/>
  <c r="A10322" i="1"/>
  <c r="B10322" i="1"/>
  <c r="A10323" i="1"/>
  <c r="B10323" i="1"/>
  <c r="A10324" i="1"/>
  <c r="B10324" i="1"/>
  <c r="A10325" i="1"/>
  <c r="B10325" i="1"/>
  <c r="A10326" i="1"/>
  <c r="B10326" i="1"/>
  <c r="A10327" i="1"/>
  <c r="B10327" i="1"/>
  <c r="A10328" i="1"/>
  <c r="B10328" i="1"/>
  <c r="A10329" i="1"/>
  <c r="B10329" i="1"/>
  <c r="A10330" i="1"/>
  <c r="B10330" i="1"/>
  <c r="A10331" i="1"/>
  <c r="B10331" i="1"/>
  <c r="A10332" i="1"/>
  <c r="B10332" i="1"/>
  <c r="A10333" i="1"/>
  <c r="B10333" i="1"/>
  <c r="A10334" i="1"/>
  <c r="B10334" i="1"/>
  <c r="A10335" i="1"/>
  <c r="B10335" i="1"/>
  <c r="A10336" i="1"/>
  <c r="B10336" i="1"/>
  <c r="A10337" i="1"/>
  <c r="A10338" i="1"/>
  <c r="A10339" i="1"/>
  <c r="B10339" i="1"/>
  <c r="A10340" i="1"/>
  <c r="B10340" i="1"/>
  <c r="A10341" i="1"/>
  <c r="A10342" i="1"/>
  <c r="B10342" i="1"/>
  <c r="A10343" i="1"/>
  <c r="B10343" i="1"/>
  <c r="A10344" i="1"/>
  <c r="B10344" i="1"/>
  <c r="A10345" i="1"/>
  <c r="B10345" i="1"/>
  <c r="A10346" i="1"/>
  <c r="A10347" i="1"/>
  <c r="B10347" i="1"/>
  <c r="A10348" i="1"/>
  <c r="B10348" i="1"/>
  <c r="A10349" i="1"/>
  <c r="B10349" i="1"/>
  <c r="A10350" i="1"/>
  <c r="B10350" i="1"/>
  <c r="A10351" i="1"/>
  <c r="A10352" i="1"/>
  <c r="B10352" i="1"/>
  <c r="A10353" i="1"/>
  <c r="B10353" i="1"/>
  <c r="A10354" i="1"/>
  <c r="B10354" i="1"/>
  <c r="A10355" i="1"/>
  <c r="A10356" i="1"/>
  <c r="B10356" i="1"/>
  <c r="A10357" i="1"/>
  <c r="B10357" i="1"/>
  <c r="A10358" i="1"/>
  <c r="B10358" i="1"/>
  <c r="A10359" i="1"/>
  <c r="B10359" i="1"/>
  <c r="A10360" i="1"/>
  <c r="B10360" i="1"/>
  <c r="A10361" i="1"/>
  <c r="B10361" i="1"/>
  <c r="A10362" i="1"/>
  <c r="B10362" i="1"/>
  <c r="A10363" i="1"/>
  <c r="B10363" i="1"/>
  <c r="A10364" i="1"/>
  <c r="B10364" i="1"/>
  <c r="A10365" i="1"/>
  <c r="B10365" i="1"/>
  <c r="A10366" i="1"/>
  <c r="A10367" i="1"/>
  <c r="B10367" i="1"/>
  <c r="A10368" i="1"/>
  <c r="B10368" i="1"/>
  <c r="A10369" i="1"/>
  <c r="B10369" i="1"/>
  <c r="A10370" i="1"/>
  <c r="A10371" i="1"/>
  <c r="B10371" i="1"/>
  <c r="A10372" i="1"/>
  <c r="B10372" i="1"/>
  <c r="A10373" i="1"/>
  <c r="B10373" i="1"/>
  <c r="A10374" i="1"/>
  <c r="B10374" i="1"/>
  <c r="A10375" i="1"/>
  <c r="A10376" i="1"/>
  <c r="B10376" i="1"/>
  <c r="A10377" i="1"/>
  <c r="B10377" i="1"/>
  <c r="A10378" i="1"/>
  <c r="B10378" i="1"/>
  <c r="A10379" i="1"/>
  <c r="B10379" i="1"/>
  <c r="A10380" i="1"/>
  <c r="B10380" i="1"/>
  <c r="A10381" i="1"/>
  <c r="B10381" i="1"/>
  <c r="A10382" i="1"/>
  <c r="B10382" i="1"/>
  <c r="A10383" i="1"/>
  <c r="A10384" i="1"/>
  <c r="B10384" i="1"/>
  <c r="A10385" i="1"/>
  <c r="A10386" i="1"/>
  <c r="B10386" i="1"/>
  <c r="A10387" i="1"/>
  <c r="A10388" i="1"/>
  <c r="B10388" i="1"/>
  <c r="A10389" i="1"/>
  <c r="B10389" i="1"/>
  <c r="A10390" i="1"/>
  <c r="B10390" i="1"/>
  <c r="A10391" i="1"/>
  <c r="B10391" i="1"/>
  <c r="A10392" i="1"/>
  <c r="B10392" i="1"/>
  <c r="A10393" i="1"/>
  <c r="A10394" i="1"/>
  <c r="A10395" i="1"/>
  <c r="B10395" i="1"/>
  <c r="A10396" i="1"/>
  <c r="A10397" i="1"/>
  <c r="B10397" i="1"/>
  <c r="A10398" i="1"/>
  <c r="B10398" i="1"/>
  <c r="A10399" i="1"/>
  <c r="B10399" i="1"/>
  <c r="A10400" i="1"/>
  <c r="B10400" i="1"/>
  <c r="A10401" i="1"/>
  <c r="B10401" i="1"/>
  <c r="A10402" i="1"/>
  <c r="B10402" i="1"/>
  <c r="A10403" i="1"/>
  <c r="A10404" i="1"/>
  <c r="B10404" i="1"/>
  <c r="A10405" i="1"/>
  <c r="B10405" i="1"/>
  <c r="A10406" i="1"/>
  <c r="B10406" i="1"/>
  <c r="A10407" i="1"/>
  <c r="B10407" i="1"/>
  <c r="A10408" i="1"/>
  <c r="B10408" i="1"/>
  <c r="A10409" i="1"/>
  <c r="B10409" i="1"/>
  <c r="A10410" i="1"/>
  <c r="B10410" i="1"/>
  <c r="A10411" i="1"/>
  <c r="B10411" i="1"/>
  <c r="A10412" i="1"/>
  <c r="B10412" i="1"/>
  <c r="A10413" i="1"/>
  <c r="A10414" i="1"/>
  <c r="B10414" i="1"/>
  <c r="A10415" i="1"/>
  <c r="B10415" i="1"/>
  <c r="A10416" i="1"/>
  <c r="B10416" i="1"/>
  <c r="A10417" i="1"/>
  <c r="B10417" i="1"/>
  <c r="A10418" i="1"/>
  <c r="B10418" i="1"/>
  <c r="A10419" i="1"/>
  <c r="B10419" i="1"/>
  <c r="A10420" i="1"/>
  <c r="B10420" i="1"/>
  <c r="A10421" i="1"/>
  <c r="B10421" i="1"/>
  <c r="A10422" i="1"/>
  <c r="B10422" i="1"/>
  <c r="A10423" i="1"/>
  <c r="B10423" i="1"/>
  <c r="A10424" i="1"/>
  <c r="A10425" i="1"/>
  <c r="B10425" i="1"/>
  <c r="A10426" i="1"/>
  <c r="B10426" i="1"/>
  <c r="A10427" i="1"/>
  <c r="B10427" i="1"/>
  <c r="A10428" i="1"/>
  <c r="B10428" i="1"/>
  <c r="A10429" i="1"/>
  <c r="B10429" i="1"/>
  <c r="A10430" i="1"/>
  <c r="B10430" i="1"/>
  <c r="A10431" i="1"/>
  <c r="B10431" i="1"/>
  <c r="A10432" i="1"/>
  <c r="B10432" i="1"/>
  <c r="A10433" i="1"/>
  <c r="A10434" i="1"/>
  <c r="B10434" i="1"/>
  <c r="A10435" i="1"/>
  <c r="A10436" i="1"/>
  <c r="B10436" i="1"/>
  <c r="A10437" i="1"/>
  <c r="B10437" i="1"/>
  <c r="A10438" i="1"/>
  <c r="B10438" i="1"/>
  <c r="A10439" i="1"/>
  <c r="B10439" i="1"/>
  <c r="A10440" i="1"/>
  <c r="B10440" i="1"/>
  <c r="A10441" i="1"/>
  <c r="A10442" i="1"/>
  <c r="B10442" i="1"/>
  <c r="A10443" i="1"/>
  <c r="B10443" i="1"/>
  <c r="A10444" i="1"/>
  <c r="B10444" i="1"/>
  <c r="A10445" i="1"/>
  <c r="B10445" i="1"/>
  <c r="A10446" i="1"/>
  <c r="B10446" i="1"/>
  <c r="A10447" i="1"/>
  <c r="B10447" i="1"/>
  <c r="A10448" i="1"/>
  <c r="B10448" i="1"/>
  <c r="A10449" i="1"/>
  <c r="B10449" i="1"/>
  <c r="A10450" i="1"/>
  <c r="B10450" i="1"/>
  <c r="A10451" i="1"/>
  <c r="B10451" i="1"/>
  <c r="A10452" i="1"/>
  <c r="B10452" i="1"/>
  <c r="A10453" i="1"/>
  <c r="A10454" i="1"/>
  <c r="A10455" i="1"/>
  <c r="B10455" i="1"/>
  <c r="A10456" i="1"/>
  <c r="A10457" i="1"/>
  <c r="B10457" i="1"/>
  <c r="A10458" i="1"/>
  <c r="B10458" i="1"/>
  <c r="A10459" i="1"/>
  <c r="A10460" i="1"/>
  <c r="B10460" i="1"/>
  <c r="A10461" i="1"/>
  <c r="B10461" i="1"/>
  <c r="A10462" i="1"/>
  <c r="B10462" i="1"/>
  <c r="A10463" i="1"/>
  <c r="B10463" i="1"/>
  <c r="A10464" i="1"/>
  <c r="B10464" i="1"/>
  <c r="A10465" i="1"/>
  <c r="B10465" i="1"/>
  <c r="A10466" i="1"/>
  <c r="B10466" i="1"/>
  <c r="A10467" i="1"/>
  <c r="A10468" i="1"/>
  <c r="A10469" i="1"/>
  <c r="B10469" i="1"/>
  <c r="A10470" i="1"/>
  <c r="A10471" i="1"/>
  <c r="B10471" i="1"/>
  <c r="A10472" i="1"/>
  <c r="B10472" i="1"/>
  <c r="A10473" i="1"/>
  <c r="A10474" i="1"/>
  <c r="B10474" i="1"/>
  <c r="A10475" i="1"/>
  <c r="A10476" i="1"/>
  <c r="B10476" i="1"/>
  <c r="A10477" i="1"/>
  <c r="A10478" i="1"/>
  <c r="B10478" i="1"/>
  <c r="A10479" i="1"/>
  <c r="B10479" i="1"/>
  <c r="A10480" i="1"/>
  <c r="A10481" i="1"/>
  <c r="B10481" i="1"/>
  <c r="A10482" i="1"/>
  <c r="B10482" i="1"/>
  <c r="A10483" i="1"/>
  <c r="B10483" i="1"/>
  <c r="A10484" i="1"/>
  <c r="B10484" i="1"/>
  <c r="A10485" i="1"/>
  <c r="B10485" i="1"/>
  <c r="A10486" i="1"/>
  <c r="B10486" i="1"/>
  <c r="A10487" i="1"/>
  <c r="A10488" i="1"/>
  <c r="A10489" i="1"/>
  <c r="A10490" i="1"/>
  <c r="B10490" i="1"/>
  <c r="A10491" i="1"/>
  <c r="B10491" i="1"/>
  <c r="A10492" i="1"/>
  <c r="B10492" i="1"/>
  <c r="A10493" i="1"/>
  <c r="B10493" i="1"/>
  <c r="A10494" i="1"/>
  <c r="A10495" i="1"/>
  <c r="B10495" i="1"/>
  <c r="A10496" i="1"/>
  <c r="B10496" i="1"/>
  <c r="A10497" i="1"/>
  <c r="B10497" i="1"/>
  <c r="A10498" i="1"/>
  <c r="B10498" i="1"/>
  <c r="A10499" i="1"/>
  <c r="B10499" i="1"/>
  <c r="A10500" i="1"/>
  <c r="B10500" i="1"/>
  <c r="A10501" i="1"/>
  <c r="A10502" i="1"/>
  <c r="B10502" i="1"/>
  <c r="A10503" i="1"/>
  <c r="B10503" i="1"/>
  <c r="A10504" i="1"/>
  <c r="B10504" i="1"/>
  <c r="A10505" i="1"/>
  <c r="B10505" i="1"/>
  <c r="A10506" i="1"/>
  <c r="B10506" i="1"/>
  <c r="A10507" i="1"/>
  <c r="B10507" i="1"/>
  <c r="A10508" i="1"/>
  <c r="B10508" i="1"/>
  <c r="A10509" i="1"/>
  <c r="B10509" i="1"/>
  <c r="A10510" i="1"/>
  <c r="B10510" i="1"/>
  <c r="A10511" i="1"/>
  <c r="B10511" i="1"/>
  <c r="A10512" i="1"/>
  <c r="B10512" i="1"/>
  <c r="A10513" i="1"/>
  <c r="B10513" i="1"/>
  <c r="A10514" i="1"/>
  <c r="B10514" i="1"/>
  <c r="A10515" i="1"/>
  <c r="B10515" i="1"/>
  <c r="A10516" i="1"/>
  <c r="B10516" i="1"/>
  <c r="A10517" i="1"/>
  <c r="B10517" i="1"/>
  <c r="A10518" i="1"/>
  <c r="B10518" i="1"/>
  <c r="A10519" i="1"/>
  <c r="A10520" i="1"/>
  <c r="A10521" i="1"/>
  <c r="B10521" i="1"/>
  <c r="A10522" i="1"/>
  <c r="B10522" i="1"/>
  <c r="A10523" i="1"/>
  <c r="A10524" i="1"/>
  <c r="B10524" i="1"/>
  <c r="A10525" i="1"/>
  <c r="B10525" i="1"/>
  <c r="A10526" i="1"/>
  <c r="A10527" i="1"/>
  <c r="B10527" i="1"/>
  <c r="A10528" i="1"/>
  <c r="B10528" i="1"/>
  <c r="A10529" i="1"/>
  <c r="B10529" i="1"/>
  <c r="A10530" i="1"/>
  <c r="A10531" i="1"/>
  <c r="B10531" i="1"/>
  <c r="A10532" i="1"/>
  <c r="B10532" i="1"/>
  <c r="A10533" i="1"/>
  <c r="A10534" i="1"/>
  <c r="B10534" i="1"/>
  <c r="A10535" i="1"/>
  <c r="B10535" i="1"/>
  <c r="A10536" i="1"/>
  <c r="B10536" i="1"/>
  <c r="A10537" i="1"/>
  <c r="B10537" i="1"/>
  <c r="A10538" i="1"/>
  <c r="B10538" i="1"/>
  <c r="A10539" i="1"/>
  <c r="B10539" i="1"/>
  <c r="A10540" i="1"/>
  <c r="B10540" i="1"/>
  <c r="A10541" i="1"/>
  <c r="B10541" i="1"/>
  <c r="A10542" i="1"/>
  <c r="B10542" i="1"/>
  <c r="A10543" i="1"/>
  <c r="B10543" i="1"/>
  <c r="A10544" i="1"/>
  <c r="B10544" i="1"/>
  <c r="A10545" i="1"/>
  <c r="B10545" i="1"/>
  <c r="A10546" i="1"/>
  <c r="B10546" i="1"/>
  <c r="A10547" i="1"/>
  <c r="A10548" i="1"/>
  <c r="A10549" i="1"/>
  <c r="B10549" i="1"/>
  <c r="A10550" i="1"/>
  <c r="B10550" i="1"/>
  <c r="A10551" i="1"/>
  <c r="B10551" i="1"/>
  <c r="A10552" i="1"/>
  <c r="B10552" i="1"/>
  <c r="A10553" i="1"/>
  <c r="A10554" i="1"/>
  <c r="B10554" i="1"/>
  <c r="A10555" i="1"/>
  <c r="B10555" i="1"/>
  <c r="A10556" i="1"/>
  <c r="B10556" i="1"/>
  <c r="A10557" i="1"/>
  <c r="B10557" i="1"/>
  <c r="A10558" i="1"/>
  <c r="B10558" i="1"/>
  <c r="A10559" i="1"/>
  <c r="B10559" i="1"/>
  <c r="A10560" i="1"/>
  <c r="A10561" i="1"/>
  <c r="B10561" i="1"/>
  <c r="A10562" i="1"/>
  <c r="B10562" i="1"/>
  <c r="A10563" i="1"/>
  <c r="B10563" i="1"/>
  <c r="A10564" i="1"/>
  <c r="B10564" i="1"/>
  <c r="A10565" i="1"/>
  <c r="A10566" i="1"/>
  <c r="B10566" i="1"/>
  <c r="A10567" i="1"/>
  <c r="B10567" i="1"/>
  <c r="A10568" i="1"/>
  <c r="B10568" i="1"/>
  <c r="A10569" i="1"/>
  <c r="B10569" i="1"/>
  <c r="A10570" i="1"/>
  <c r="A10571" i="1"/>
  <c r="B10571" i="1"/>
  <c r="A10572" i="1"/>
  <c r="B10572" i="1"/>
  <c r="A10573" i="1"/>
  <c r="B10573" i="1"/>
  <c r="A10574" i="1"/>
  <c r="B10574" i="1"/>
  <c r="A10575" i="1"/>
  <c r="A10576" i="1"/>
  <c r="B10576" i="1"/>
  <c r="A10577" i="1"/>
  <c r="B10577" i="1"/>
  <c r="A10578" i="1"/>
  <c r="A10579" i="1"/>
  <c r="B10579" i="1"/>
  <c r="A10580" i="1"/>
  <c r="B10580" i="1"/>
  <c r="A10581" i="1"/>
  <c r="B10581" i="1"/>
  <c r="A10582" i="1"/>
  <c r="B10582" i="1"/>
  <c r="A10583" i="1"/>
  <c r="B10583" i="1"/>
  <c r="A10584" i="1"/>
  <c r="B10584" i="1"/>
  <c r="A10585" i="1"/>
  <c r="A10586" i="1"/>
  <c r="B10586" i="1"/>
  <c r="A10587" i="1"/>
  <c r="B10587" i="1"/>
  <c r="A10588" i="1"/>
  <c r="A10589" i="1"/>
  <c r="B10589" i="1"/>
  <c r="A10590" i="1"/>
  <c r="B10590" i="1"/>
  <c r="A10591" i="1"/>
  <c r="B10591" i="1"/>
  <c r="A10592" i="1"/>
  <c r="B10592" i="1"/>
  <c r="A10593" i="1"/>
  <c r="B10593" i="1"/>
  <c r="A10594" i="1"/>
  <c r="B10594" i="1"/>
  <c r="A10595" i="1"/>
  <c r="B10595" i="1"/>
  <c r="A10596" i="1"/>
  <c r="B10596" i="1"/>
  <c r="A10597" i="1"/>
  <c r="B10597" i="1"/>
  <c r="A10598" i="1"/>
  <c r="B10598" i="1"/>
  <c r="A10599" i="1"/>
  <c r="B10599" i="1"/>
  <c r="A10600" i="1"/>
  <c r="B10600" i="1"/>
  <c r="A10601" i="1"/>
  <c r="B10601" i="1"/>
  <c r="A10602" i="1"/>
  <c r="B10602" i="1"/>
  <c r="A10603" i="1"/>
  <c r="B10603" i="1"/>
  <c r="A10604" i="1"/>
  <c r="A10605" i="1"/>
  <c r="A10606" i="1"/>
  <c r="B10606" i="1"/>
  <c r="A10607" i="1"/>
  <c r="B10607" i="1"/>
  <c r="A10608" i="1"/>
  <c r="B10608" i="1"/>
  <c r="A10609" i="1"/>
  <c r="B10609" i="1"/>
  <c r="A10610" i="1"/>
  <c r="B10610" i="1"/>
  <c r="A10611" i="1"/>
  <c r="B10611" i="1"/>
  <c r="A10612" i="1"/>
  <c r="A10613" i="1"/>
  <c r="B10613" i="1"/>
  <c r="A10614" i="1"/>
  <c r="A10615" i="1"/>
  <c r="B10615" i="1"/>
  <c r="A10616" i="1"/>
  <c r="B10616" i="1"/>
  <c r="A10617" i="1"/>
  <c r="B10617" i="1"/>
  <c r="A10618" i="1"/>
  <c r="A10619" i="1"/>
  <c r="A10620" i="1"/>
  <c r="A10621" i="1"/>
  <c r="A10622" i="1"/>
  <c r="B10622" i="1"/>
  <c r="A10623" i="1"/>
  <c r="A10624" i="1"/>
  <c r="A10625" i="1"/>
  <c r="A10626" i="1"/>
  <c r="A10627" i="1"/>
  <c r="B10627" i="1"/>
  <c r="A10628" i="1"/>
  <c r="B10628" i="1"/>
  <c r="A10629" i="1"/>
  <c r="B10629" i="1"/>
  <c r="A10630" i="1"/>
  <c r="A10631" i="1"/>
  <c r="B10631" i="1"/>
  <c r="A10632" i="1"/>
  <c r="B10632" i="1"/>
  <c r="A10633" i="1"/>
  <c r="B10633" i="1"/>
  <c r="A10634" i="1"/>
  <c r="A10635" i="1"/>
  <c r="A10636" i="1"/>
  <c r="A10637" i="1"/>
  <c r="A10638" i="1"/>
  <c r="B10638" i="1"/>
  <c r="A10639" i="1"/>
  <c r="B10639" i="1"/>
  <c r="A10640" i="1"/>
  <c r="B10640" i="1"/>
  <c r="A10641" i="1"/>
  <c r="B10641" i="1"/>
  <c r="A10642" i="1"/>
  <c r="B10642" i="1"/>
  <c r="A10643" i="1"/>
  <c r="A10644" i="1"/>
  <c r="B10644" i="1"/>
  <c r="A10645" i="1"/>
  <c r="B10645" i="1"/>
  <c r="A10646" i="1"/>
  <c r="B10646" i="1"/>
  <c r="A10647" i="1"/>
  <c r="A10648" i="1"/>
  <c r="A10649" i="1"/>
  <c r="B10649" i="1"/>
  <c r="A10650" i="1"/>
  <c r="B10650" i="1"/>
  <c r="A10651" i="1"/>
  <c r="B10651" i="1"/>
  <c r="A10652" i="1"/>
  <c r="B10652" i="1"/>
  <c r="A10653" i="1"/>
  <c r="A10654" i="1"/>
  <c r="A10655" i="1"/>
  <c r="A10656" i="1"/>
  <c r="B10656" i="1"/>
  <c r="A10657" i="1"/>
  <c r="B10657" i="1"/>
  <c r="A10658" i="1"/>
  <c r="B10658" i="1"/>
  <c r="A10659" i="1"/>
  <c r="B10659" i="1"/>
  <c r="A10660" i="1"/>
  <c r="A10661" i="1"/>
  <c r="A10662" i="1"/>
  <c r="B10662" i="1"/>
  <c r="A10663" i="1"/>
  <c r="B10663" i="1"/>
  <c r="A10664" i="1"/>
  <c r="B10664" i="1"/>
  <c r="A10665" i="1"/>
  <c r="A10666" i="1"/>
  <c r="B10666" i="1"/>
  <c r="A10667" i="1"/>
  <c r="B10667" i="1"/>
  <c r="A10668" i="1"/>
  <c r="B10668" i="1"/>
  <c r="A10669" i="1"/>
  <c r="B10669" i="1"/>
  <c r="A10670" i="1"/>
  <c r="B10670" i="1"/>
  <c r="A10671" i="1"/>
  <c r="B10671" i="1"/>
  <c r="A10672" i="1"/>
  <c r="B10672" i="1"/>
  <c r="A10673" i="1"/>
  <c r="B10673" i="1"/>
  <c r="A10674" i="1"/>
  <c r="B10674" i="1"/>
  <c r="A10675" i="1"/>
  <c r="B10675" i="1"/>
  <c r="A10676" i="1"/>
  <c r="B10676" i="1"/>
  <c r="A10677" i="1"/>
  <c r="B10677" i="1"/>
  <c r="A10678" i="1"/>
  <c r="B10678" i="1"/>
  <c r="A10679" i="1"/>
  <c r="B10679" i="1"/>
  <c r="A10680" i="1"/>
  <c r="B10680" i="1"/>
  <c r="A10681" i="1"/>
  <c r="B10681" i="1"/>
  <c r="A10682" i="1"/>
  <c r="A10683" i="1"/>
  <c r="B10683" i="1"/>
  <c r="A10684" i="1"/>
  <c r="B10684" i="1"/>
  <c r="A10685" i="1"/>
  <c r="B10685" i="1"/>
  <c r="A10686" i="1"/>
  <c r="B10686" i="1"/>
  <c r="A10687" i="1"/>
  <c r="B10687" i="1"/>
  <c r="A10688" i="1"/>
  <c r="B10688" i="1"/>
  <c r="A10689" i="1"/>
  <c r="B10689" i="1"/>
  <c r="A10690" i="1"/>
  <c r="B10690" i="1"/>
  <c r="A10691" i="1"/>
  <c r="A10692" i="1"/>
  <c r="A10693" i="1"/>
  <c r="B10693" i="1"/>
  <c r="A10694" i="1"/>
  <c r="B10694" i="1"/>
  <c r="A10695" i="1"/>
  <c r="B10695" i="1"/>
  <c r="A10696" i="1"/>
  <c r="B10696" i="1"/>
  <c r="A10697" i="1"/>
  <c r="B10697" i="1"/>
  <c r="A10698" i="1"/>
  <c r="B10698" i="1"/>
  <c r="A10699" i="1"/>
  <c r="B10699" i="1"/>
  <c r="A10700" i="1"/>
  <c r="B10700" i="1"/>
  <c r="A10701" i="1"/>
  <c r="B10701" i="1"/>
  <c r="A10702" i="1"/>
  <c r="A10703" i="1"/>
  <c r="B10703" i="1"/>
  <c r="A10704" i="1"/>
  <c r="B10704" i="1"/>
  <c r="A10705" i="1"/>
  <c r="B10705" i="1"/>
  <c r="A10706" i="1"/>
  <c r="B10706" i="1"/>
  <c r="A10707" i="1"/>
  <c r="B10707" i="1"/>
  <c r="A10708" i="1"/>
  <c r="B10708" i="1"/>
  <c r="A10709" i="1"/>
  <c r="B10709" i="1"/>
  <c r="A10710" i="1"/>
  <c r="A10711" i="1"/>
  <c r="A10712" i="1"/>
  <c r="B10712" i="1"/>
  <c r="A10713" i="1"/>
  <c r="B10713" i="1"/>
  <c r="A10714" i="1"/>
  <c r="B10714" i="1"/>
  <c r="A10715" i="1"/>
  <c r="B10715" i="1"/>
  <c r="A10716" i="1"/>
  <c r="A10717" i="1"/>
  <c r="B10717" i="1"/>
  <c r="A10718" i="1"/>
  <c r="A10719" i="1"/>
  <c r="B10719" i="1"/>
  <c r="A10720" i="1"/>
  <c r="B10720" i="1"/>
  <c r="A10721" i="1"/>
  <c r="B10721" i="1"/>
  <c r="A10722" i="1"/>
  <c r="A10723" i="1"/>
  <c r="A10724" i="1"/>
  <c r="A10725" i="1"/>
  <c r="A10726" i="1"/>
  <c r="B10726" i="1"/>
  <c r="A10727" i="1"/>
  <c r="B10727" i="1"/>
  <c r="A10728" i="1"/>
  <c r="B10728" i="1"/>
  <c r="A10729" i="1"/>
  <c r="B10729" i="1"/>
  <c r="A10730" i="1"/>
  <c r="B10730" i="1"/>
  <c r="A10731" i="1"/>
  <c r="B10731" i="1"/>
  <c r="A10732" i="1"/>
  <c r="B10732" i="1"/>
  <c r="A10733" i="1"/>
  <c r="B10733" i="1"/>
  <c r="A10734" i="1"/>
  <c r="B10734" i="1"/>
  <c r="A10735" i="1"/>
  <c r="B10735" i="1"/>
  <c r="A10736" i="1"/>
  <c r="B10736" i="1"/>
  <c r="A10737" i="1"/>
  <c r="B10737" i="1"/>
  <c r="A10738" i="1"/>
  <c r="B10738" i="1"/>
  <c r="A10739" i="1"/>
  <c r="A10740" i="1"/>
  <c r="B10740" i="1"/>
  <c r="A10741" i="1"/>
  <c r="B10741" i="1"/>
  <c r="A10742" i="1"/>
  <c r="B10742" i="1"/>
  <c r="A10743" i="1"/>
  <c r="B10743" i="1"/>
  <c r="A10744" i="1"/>
  <c r="B10744" i="1"/>
  <c r="A10745" i="1"/>
  <c r="B10745" i="1"/>
  <c r="A10746" i="1"/>
  <c r="B10746" i="1"/>
  <c r="A10747" i="1"/>
  <c r="B10747" i="1"/>
  <c r="A10748" i="1"/>
  <c r="B10748" i="1"/>
  <c r="A10749" i="1"/>
  <c r="B10749" i="1"/>
  <c r="A10750" i="1"/>
  <c r="A10751" i="1"/>
  <c r="A10752" i="1"/>
  <c r="A10753" i="1"/>
  <c r="A10754" i="1"/>
  <c r="A10755" i="1"/>
  <c r="A10756" i="1"/>
  <c r="A10757" i="1"/>
  <c r="A10758" i="1"/>
  <c r="A10759" i="1"/>
  <c r="A10760" i="1"/>
  <c r="A10761" i="1"/>
  <c r="A10762" i="1"/>
  <c r="B10762" i="1"/>
  <c r="A10763" i="1"/>
  <c r="B10763" i="1"/>
  <c r="A10764" i="1"/>
  <c r="B10764" i="1"/>
  <c r="A10765" i="1"/>
  <c r="B10765" i="1"/>
  <c r="A10766" i="1"/>
  <c r="B10766" i="1"/>
  <c r="A10767" i="1"/>
  <c r="B10767" i="1"/>
  <c r="A10768" i="1"/>
  <c r="B10768" i="1"/>
  <c r="A10769" i="1"/>
  <c r="B10769" i="1"/>
  <c r="A10770" i="1"/>
  <c r="B10770" i="1"/>
  <c r="A10771" i="1"/>
  <c r="B10771" i="1"/>
  <c r="A10772" i="1"/>
  <c r="B10772" i="1"/>
  <c r="A10773" i="1"/>
  <c r="B10773" i="1"/>
  <c r="A10774" i="1"/>
  <c r="B10774" i="1"/>
  <c r="A10775" i="1"/>
  <c r="B10775" i="1"/>
  <c r="A10776" i="1"/>
  <c r="B10776" i="1"/>
  <c r="A10777" i="1"/>
  <c r="B10777" i="1"/>
  <c r="A10778" i="1"/>
  <c r="A10779" i="1"/>
  <c r="B10779" i="1"/>
  <c r="A10780" i="1"/>
  <c r="A10781" i="1"/>
  <c r="B10781" i="1"/>
  <c r="A10782" i="1"/>
  <c r="B10782" i="1"/>
  <c r="A10783" i="1"/>
  <c r="B10783" i="1"/>
  <c r="A10784" i="1"/>
  <c r="B10784" i="1"/>
  <c r="A10785" i="1"/>
  <c r="B10785" i="1"/>
  <c r="A10786" i="1"/>
  <c r="B10786" i="1"/>
  <c r="A10787" i="1"/>
  <c r="B10787" i="1"/>
  <c r="A10788" i="1"/>
  <c r="B10788" i="1"/>
  <c r="A10789" i="1"/>
  <c r="B10789" i="1"/>
  <c r="A10790" i="1"/>
  <c r="B10790" i="1"/>
  <c r="A10791" i="1"/>
  <c r="B10791" i="1"/>
  <c r="A10792" i="1"/>
  <c r="B10792" i="1"/>
  <c r="A10793" i="1"/>
  <c r="B10793" i="1"/>
  <c r="A10794" i="1"/>
  <c r="B10794" i="1"/>
  <c r="A10795" i="1"/>
  <c r="B10795" i="1"/>
  <c r="A10796" i="1"/>
  <c r="B10796" i="1"/>
  <c r="A10797" i="1"/>
  <c r="B10797" i="1"/>
  <c r="A10798" i="1"/>
  <c r="B10798" i="1"/>
  <c r="A10799" i="1"/>
  <c r="B10799" i="1"/>
  <c r="A10800" i="1"/>
  <c r="A10801" i="1"/>
  <c r="B10801" i="1"/>
  <c r="A10802" i="1"/>
  <c r="B10802" i="1"/>
  <c r="A10803" i="1"/>
  <c r="B10803" i="1"/>
  <c r="A10804" i="1"/>
  <c r="B10804" i="1"/>
  <c r="A10805" i="1"/>
  <c r="A10806" i="1"/>
  <c r="B10806" i="1"/>
  <c r="A10807" i="1"/>
  <c r="B10807" i="1"/>
  <c r="A10808" i="1"/>
  <c r="B10808" i="1"/>
  <c r="A10809" i="1"/>
  <c r="B10809" i="1"/>
  <c r="A10810" i="1"/>
  <c r="B10810" i="1"/>
  <c r="A10811" i="1"/>
  <c r="B10811" i="1"/>
  <c r="A10812" i="1"/>
  <c r="B10812" i="1"/>
  <c r="A10813" i="1"/>
  <c r="B10813" i="1"/>
  <c r="A10814" i="1"/>
  <c r="B10814" i="1"/>
  <c r="A10815" i="1"/>
  <c r="B10815" i="1"/>
  <c r="A10816" i="1"/>
  <c r="B10816" i="1"/>
  <c r="A10817" i="1"/>
  <c r="B10817" i="1"/>
  <c r="A10818" i="1"/>
  <c r="B10818" i="1"/>
  <c r="A10819" i="1"/>
  <c r="A10820" i="1"/>
  <c r="B10820" i="1"/>
  <c r="A10821" i="1"/>
  <c r="B10821" i="1"/>
  <c r="A10822" i="1"/>
  <c r="B10822" i="1"/>
  <c r="A10823" i="1"/>
  <c r="B10823" i="1"/>
  <c r="A10824" i="1"/>
  <c r="B10824" i="1"/>
  <c r="A10825" i="1"/>
  <c r="B10825" i="1"/>
  <c r="A10826" i="1"/>
  <c r="B10826" i="1"/>
  <c r="A10827" i="1"/>
  <c r="B10827" i="1"/>
  <c r="A10828" i="1"/>
  <c r="B10828" i="1"/>
  <c r="A10829" i="1"/>
  <c r="B10829" i="1"/>
  <c r="A10830" i="1"/>
  <c r="B10830" i="1"/>
  <c r="A10831" i="1"/>
  <c r="B10831" i="1"/>
  <c r="A10832" i="1"/>
  <c r="B10832" i="1"/>
  <c r="A10833" i="1"/>
  <c r="B10833" i="1"/>
  <c r="A10834" i="1"/>
  <c r="B10834" i="1"/>
  <c r="A10835" i="1"/>
  <c r="A10836" i="1"/>
  <c r="B10836" i="1"/>
  <c r="A10837" i="1"/>
  <c r="B10837" i="1"/>
  <c r="A10838" i="1"/>
  <c r="A10839" i="1"/>
  <c r="B10839" i="1"/>
  <c r="A10840" i="1"/>
  <c r="B10840" i="1"/>
  <c r="A10841" i="1"/>
  <c r="B10841" i="1"/>
  <c r="A10842" i="1"/>
  <c r="B10842" i="1"/>
  <c r="A10843" i="1"/>
  <c r="B10843" i="1"/>
  <c r="A10844" i="1"/>
  <c r="A10845" i="1"/>
  <c r="B10845" i="1"/>
  <c r="A10846" i="1"/>
  <c r="A10847" i="1"/>
  <c r="B10847" i="1"/>
  <c r="A10848" i="1"/>
  <c r="B10848" i="1"/>
  <c r="A10849" i="1"/>
  <c r="B10849" i="1"/>
  <c r="A10850" i="1"/>
  <c r="B10850" i="1"/>
  <c r="A10851" i="1"/>
  <c r="B10851" i="1"/>
  <c r="A10852" i="1"/>
  <c r="B10852" i="1"/>
  <c r="A10853" i="1"/>
  <c r="B10853" i="1"/>
  <c r="A10854" i="1"/>
  <c r="B10854" i="1"/>
  <c r="A10855" i="1"/>
  <c r="B10855" i="1"/>
  <c r="A10856" i="1"/>
  <c r="B10856" i="1"/>
  <c r="A10857" i="1"/>
  <c r="B10857" i="1"/>
  <c r="A10858" i="1"/>
  <c r="B10858" i="1"/>
  <c r="A10859" i="1"/>
  <c r="B10859" i="1"/>
  <c r="A10860" i="1"/>
  <c r="B10860" i="1"/>
  <c r="A10861" i="1"/>
  <c r="B10861" i="1"/>
  <c r="A10862" i="1"/>
  <c r="B10862" i="1"/>
  <c r="A10863" i="1"/>
  <c r="B10863" i="1"/>
  <c r="A10864" i="1"/>
  <c r="B10864" i="1"/>
  <c r="A10865" i="1"/>
  <c r="B10865" i="1"/>
  <c r="A10866" i="1"/>
  <c r="B10866" i="1"/>
  <c r="A10867" i="1"/>
  <c r="B10867" i="1"/>
  <c r="A10868" i="1"/>
  <c r="B10868" i="1"/>
  <c r="A10869" i="1"/>
  <c r="B10869" i="1"/>
  <c r="A10870" i="1"/>
  <c r="A10871" i="1"/>
  <c r="B10871" i="1"/>
  <c r="A10872" i="1"/>
  <c r="B10872" i="1"/>
  <c r="A10873" i="1"/>
  <c r="B10873" i="1"/>
  <c r="A10874" i="1"/>
  <c r="B10874" i="1"/>
  <c r="A10875" i="1"/>
  <c r="A10876" i="1"/>
  <c r="B10876" i="1"/>
  <c r="A10877" i="1"/>
  <c r="A10878" i="1"/>
  <c r="B10878" i="1"/>
  <c r="A10879" i="1"/>
  <c r="B10879" i="1"/>
  <c r="A10880" i="1"/>
  <c r="B10880" i="1"/>
  <c r="A10881" i="1"/>
  <c r="A10882" i="1"/>
  <c r="B10882" i="1"/>
  <c r="A10883" i="1"/>
  <c r="B10883" i="1"/>
  <c r="A10884" i="1"/>
  <c r="B10884" i="1"/>
  <c r="A10885" i="1"/>
  <c r="B10885" i="1"/>
  <c r="A10886" i="1"/>
  <c r="B10886" i="1"/>
  <c r="A10887" i="1"/>
  <c r="B10887" i="1"/>
  <c r="A10888" i="1"/>
  <c r="A10889" i="1"/>
  <c r="A10890" i="1"/>
  <c r="A10891" i="1"/>
  <c r="A10892" i="1"/>
  <c r="B10892" i="1"/>
  <c r="A10893" i="1"/>
  <c r="A10894" i="1"/>
  <c r="B10894" i="1"/>
  <c r="A10895" i="1"/>
  <c r="B10895" i="1"/>
  <c r="A10896" i="1"/>
  <c r="A10897" i="1"/>
  <c r="A10898" i="1"/>
  <c r="B10898" i="1"/>
  <c r="A10899" i="1"/>
  <c r="B10899" i="1"/>
  <c r="A10900" i="1"/>
  <c r="B10900" i="1"/>
  <c r="A10901" i="1"/>
  <c r="B10901" i="1"/>
  <c r="A10902" i="1"/>
  <c r="B10902" i="1"/>
  <c r="A10903" i="1"/>
  <c r="A10904" i="1"/>
  <c r="B10904" i="1"/>
  <c r="A10905" i="1"/>
  <c r="B10905" i="1"/>
  <c r="A10906" i="1"/>
  <c r="B10906" i="1"/>
  <c r="A10907" i="1"/>
  <c r="B10907" i="1"/>
  <c r="A10908" i="1"/>
  <c r="B10908" i="1"/>
  <c r="A10909" i="1"/>
  <c r="B10909" i="1"/>
  <c r="A10910" i="1"/>
  <c r="B10910" i="1"/>
  <c r="A10911" i="1"/>
  <c r="A10912" i="1"/>
  <c r="B10912" i="1"/>
  <c r="A10913" i="1"/>
  <c r="B10913" i="1"/>
  <c r="A10914" i="1"/>
  <c r="B10914" i="1"/>
  <c r="A10915" i="1"/>
  <c r="A10916" i="1"/>
  <c r="B10916" i="1"/>
  <c r="A10917" i="1"/>
  <c r="B10917" i="1"/>
  <c r="A10918" i="1"/>
  <c r="B10918" i="1"/>
  <c r="A10919" i="1"/>
  <c r="B10919" i="1"/>
  <c r="A10920" i="1"/>
  <c r="B10920" i="1"/>
  <c r="A10921" i="1"/>
  <c r="B10921" i="1"/>
  <c r="A10922" i="1"/>
  <c r="B10922" i="1"/>
  <c r="A10923" i="1"/>
  <c r="B10923" i="1"/>
  <c r="A10924" i="1"/>
  <c r="B10924" i="1"/>
  <c r="A10925" i="1"/>
  <c r="B10925" i="1"/>
  <c r="A10926" i="1"/>
  <c r="B10926" i="1"/>
  <c r="A10927" i="1"/>
  <c r="B10927" i="1"/>
  <c r="A10928" i="1"/>
  <c r="B10928" i="1"/>
  <c r="A10929" i="1"/>
  <c r="B10929" i="1"/>
  <c r="A10930" i="1"/>
  <c r="B10930" i="1"/>
  <c r="A10931" i="1"/>
  <c r="B10931" i="1"/>
  <c r="A10932" i="1"/>
  <c r="A10933" i="1"/>
  <c r="B10933" i="1"/>
  <c r="A10934" i="1"/>
  <c r="B10934" i="1"/>
  <c r="A10935" i="1"/>
  <c r="B10935" i="1"/>
  <c r="A10936" i="1"/>
  <c r="B10936" i="1"/>
  <c r="A10937" i="1"/>
  <c r="B10937" i="1"/>
  <c r="A10938" i="1"/>
  <c r="B10938" i="1"/>
  <c r="A10939" i="1"/>
  <c r="B10939" i="1"/>
  <c r="A10940" i="1"/>
  <c r="A10941" i="1"/>
  <c r="B10941" i="1"/>
  <c r="A10942" i="1"/>
  <c r="B10942" i="1"/>
  <c r="A10943" i="1"/>
  <c r="B10943" i="1"/>
  <c r="A10944" i="1"/>
  <c r="B10944" i="1"/>
  <c r="A10945" i="1"/>
  <c r="A10946" i="1"/>
  <c r="B10946" i="1"/>
  <c r="A10947" i="1"/>
  <c r="B10947" i="1"/>
  <c r="A10948" i="1"/>
  <c r="B10948" i="1"/>
  <c r="A10949" i="1"/>
  <c r="B10949" i="1"/>
  <c r="A10950" i="1"/>
  <c r="B10950" i="1"/>
  <c r="A10951" i="1"/>
  <c r="B10951" i="1"/>
  <c r="A10952" i="1"/>
  <c r="B10952" i="1"/>
  <c r="A10953" i="1"/>
  <c r="A10954" i="1"/>
  <c r="B10954" i="1"/>
  <c r="A10955" i="1"/>
  <c r="B10955" i="1"/>
  <c r="A10956" i="1"/>
  <c r="B10956" i="1"/>
  <c r="A10957" i="1"/>
  <c r="B10957" i="1"/>
  <c r="A10958" i="1"/>
  <c r="B10958" i="1"/>
  <c r="A10959" i="1"/>
  <c r="B10959" i="1"/>
  <c r="A10960" i="1"/>
  <c r="B10960" i="1"/>
  <c r="A10961" i="1"/>
  <c r="B10961" i="1"/>
  <c r="A10962" i="1"/>
  <c r="B10962" i="1"/>
  <c r="A10963" i="1"/>
  <c r="B10963" i="1"/>
  <c r="A10964" i="1"/>
  <c r="B10964" i="1"/>
  <c r="A10965" i="1"/>
  <c r="B10965" i="1"/>
  <c r="A10966" i="1"/>
  <c r="B10966" i="1"/>
  <c r="A10967" i="1"/>
  <c r="B10967" i="1"/>
  <c r="A10968" i="1"/>
  <c r="B10968" i="1"/>
  <c r="A10969" i="1"/>
  <c r="B10969" i="1"/>
  <c r="A10970" i="1"/>
  <c r="B10970" i="1"/>
  <c r="A10971" i="1"/>
  <c r="A10972" i="1"/>
  <c r="A10973" i="1"/>
  <c r="B10973" i="1"/>
  <c r="A10974" i="1"/>
  <c r="B10974" i="1"/>
  <c r="A10975" i="1"/>
  <c r="B10975" i="1"/>
  <c r="A10976" i="1"/>
  <c r="A10977" i="1"/>
  <c r="B10977" i="1"/>
  <c r="A10978" i="1"/>
  <c r="B10978" i="1"/>
  <c r="A10979" i="1"/>
  <c r="B10979" i="1"/>
  <c r="A10980" i="1"/>
  <c r="B10980" i="1"/>
  <c r="A10981" i="1"/>
  <c r="B10981" i="1"/>
  <c r="A10982" i="1"/>
  <c r="A10983" i="1"/>
  <c r="B10983" i="1"/>
  <c r="A10984" i="1"/>
  <c r="A10985" i="1"/>
  <c r="B10985" i="1"/>
  <c r="A10986" i="1"/>
  <c r="B10986" i="1"/>
  <c r="A10987" i="1"/>
  <c r="B10987" i="1"/>
  <c r="A10988" i="1"/>
  <c r="B10988" i="1"/>
  <c r="A10989" i="1"/>
  <c r="A10990" i="1"/>
  <c r="B10990" i="1"/>
  <c r="A10991" i="1"/>
  <c r="B10991" i="1"/>
  <c r="A10992" i="1"/>
  <c r="B10992" i="1"/>
  <c r="A10993" i="1"/>
  <c r="A10994" i="1"/>
  <c r="B10994" i="1"/>
  <c r="A10995" i="1"/>
  <c r="A10996" i="1"/>
  <c r="A10997" i="1"/>
  <c r="B10997" i="1"/>
  <c r="A10998" i="1"/>
  <c r="B10998" i="1"/>
  <c r="A10999" i="1"/>
  <c r="B10999" i="1"/>
  <c r="A11000" i="1"/>
  <c r="B11000" i="1"/>
  <c r="A11001" i="1"/>
  <c r="B11001" i="1"/>
  <c r="A11002" i="1"/>
  <c r="A11003" i="1"/>
  <c r="B11003" i="1"/>
  <c r="A11004" i="1"/>
  <c r="B11004" i="1"/>
  <c r="A11005" i="1"/>
  <c r="A11006" i="1"/>
  <c r="B11006" i="1"/>
  <c r="A11007" i="1"/>
  <c r="A11008" i="1"/>
  <c r="A11009" i="1"/>
  <c r="A11010" i="1"/>
  <c r="B11010" i="1"/>
  <c r="A11011" i="1"/>
  <c r="B11011" i="1"/>
  <c r="A11012" i="1"/>
  <c r="B11012" i="1"/>
  <c r="A11013" i="1"/>
  <c r="A11014" i="1"/>
  <c r="A11015" i="1"/>
  <c r="A11016" i="1"/>
  <c r="B11016" i="1"/>
  <c r="A11017" i="1"/>
  <c r="A11018" i="1"/>
  <c r="B11018" i="1"/>
  <c r="A11019" i="1"/>
  <c r="B11019" i="1"/>
  <c r="A11020" i="1"/>
  <c r="B11020" i="1"/>
  <c r="A11021" i="1"/>
  <c r="B11021" i="1"/>
  <c r="A11022" i="1"/>
  <c r="B11022" i="1"/>
  <c r="A11023" i="1"/>
  <c r="B11023" i="1"/>
  <c r="A11024" i="1"/>
  <c r="B11024" i="1"/>
  <c r="A11025" i="1"/>
  <c r="A11026" i="1"/>
  <c r="B11026" i="1"/>
  <c r="A11027" i="1"/>
  <c r="B11027" i="1"/>
  <c r="A11028" i="1"/>
  <c r="B11028" i="1"/>
  <c r="A11029" i="1"/>
  <c r="B11029" i="1"/>
  <c r="A11030" i="1"/>
  <c r="B11030" i="1"/>
  <c r="A11031" i="1"/>
  <c r="A11032" i="1"/>
  <c r="A11033" i="1"/>
  <c r="B11033" i="1"/>
  <c r="A11034" i="1"/>
  <c r="B11034" i="1"/>
  <c r="A11035" i="1"/>
  <c r="B11035" i="1"/>
  <c r="A11036" i="1"/>
  <c r="A11037" i="1"/>
  <c r="B11037" i="1"/>
  <c r="A11038" i="1"/>
  <c r="B11038" i="1"/>
  <c r="A11039" i="1"/>
  <c r="A11040" i="1"/>
  <c r="A11041" i="1"/>
  <c r="A11042" i="1"/>
  <c r="A11043" i="1"/>
  <c r="B11043" i="1"/>
  <c r="A11044" i="1"/>
  <c r="B11044" i="1"/>
  <c r="A11045" i="1"/>
  <c r="B11045" i="1"/>
  <c r="A11046" i="1"/>
  <c r="B11046" i="1"/>
  <c r="A11047" i="1"/>
  <c r="A11048" i="1"/>
  <c r="B11048" i="1"/>
  <c r="A11049" i="1"/>
  <c r="B11049" i="1"/>
  <c r="A11050" i="1"/>
  <c r="B11050" i="1"/>
  <c r="A11051" i="1"/>
  <c r="B11051" i="1"/>
  <c r="A11052" i="1"/>
  <c r="B11052" i="1"/>
  <c r="A11053" i="1"/>
  <c r="B11053" i="1"/>
  <c r="A11054" i="1"/>
  <c r="B11054" i="1"/>
</calcChain>
</file>

<file path=xl/sharedStrings.xml><?xml version="1.0" encoding="utf-8"?>
<sst xmlns="http://schemas.openxmlformats.org/spreadsheetml/2006/main" count="2546" uniqueCount="518">
  <si>
    <t>Produced:</t>
  </si>
  <si>
    <t>Mois(C):</t>
  </si>
  <si>
    <t>Annee(C):</t>
  </si>
  <si>
    <t>BUREAU(C):</t>
  </si>
  <si>
    <t>SYSCOM(C):</t>
  </si>
  <si>
    <t>FLUX(C):</t>
  </si>
  <si>
    <t>PROVDEST(C):</t>
  </si>
  <si>
    <t>PARTENAIRE(B):</t>
  </si>
  <si>
    <t>Y Axis (1)</t>
  </si>
  <si>
    <t>PRODUIT(B):</t>
  </si>
  <si>
    <t>Y Axis (2)</t>
  </si>
  <si>
    <t>INDICATORS(B):</t>
  </si>
  <si>
    <t>X Axis (1)</t>
  </si>
  <si>
    <t>=t("   Viandes et abats comestibles de pigeons, de phoques, de gibier, de rennes et d'autres espèces animales, frais, réfrigérés ou congelés (à l'excl. des viandes et abats d'animaux des espèces bovine, porcine, ovine, caprine, chevaline, asine ou mulassi</t>
  </si>
  <si>
    <t>=t("   VIANDES ET ABATS COMESTIBLES, SALÉS OU EN SAUMURE, SÉCHÉS OU FUMÉS, ET FARINES ET POUDRES COMESTIBLES DE VIANDES ET D'ABATS (À L'EXCL. DES VIANDES DES ESPÈCES PORCINE ET BOVINE AINSI QUE DES VIANDES ET ABATS COMESTIBLES DE PRIMATES, DE BALEINES, DE</t>
  </si>
  <si>
    <t>=t("   POISSONS D'EAU DOUCE ET DE MER, COMESTIBLES, CONGELÉS (À L'EXCL. DES SALMONIDÉS, DES POISSONS PLATS, DES THONS, DES LISTAOS OU BONITES À VENTRE RAYÉ, DES HARENGS, DES MORUES, DES ESPADONS, DES LÉGINES, DES SARDINES, DES SARDINELLES, DES SPRATS OU E</t>
  </si>
  <si>
    <t>=t("   CRUSTACÉS, COMESTIBLES, MÊME DÉCORTIQUÉS, CONGELÉS, Y.C. LES CRUSTACÉS NON-DÉCORTIQUÉS PRÉALABLEMENT CUITS À L'EAU OU À LA VAPEUR (À L'EXCL. DES LANGOUSTES, DES HOMARDS, DES CREVETTES OU DES CRABES); FARINES, POUDRES ET AGGLOMÉRÉS SOUS FORME DE PEL</t>
  </si>
  <si>
    <t>=t("   FROMAGES (À L'EXCL. DES FROMAGES FRAIS [NON-AFFINÉS], Y.C. LE FROMAGE DE LACTOSÉRUM, DE LA CAILLEBOTTE, DES FROMAGES FONDUS, DES FROMAGES À PÂTE PERSILLÉE ET AUTRES FROMAGES PRÉSENTANT DES MARBRURES OBTENUES EN UTILISANT DU 'PENICILLIUM ROQUEFORTI'</t>
  </si>
  <si>
    <t>=t("   PLANTES VIVANTES, Y.C. LEURS RACINES, ET BLANC DE CHAMPIGNONS (À L'EXCL. DES BULBES, OIGNONS, TUBERCULES, RACINES TUBÉREUSES, GRIFFES ET RHIZOMES - Y.C. LES PLANTS, PLANTES ET RACINES DE CHICORÉE -, DES BOUTURES NON-RACINÉES, DES GREFFONS, DES ARBR</t>
  </si>
  <si>
    <t>=t("   Légumes, à l'état frais ou réfrigéré (sauf pommes de terre, tomates, légumes alliacés, choux du genre Brassica, laitues [Lactuca sativa] et chicorées [Cichorium spp.], carottes, navets, betteraves à salade, salsifis, céleris, radis et racines comes</t>
  </si>
  <si>
    <t>=t("   LÉGUMES ET MÉLANGES DE LÉGUMES, CONSERVÉS PROVISOIREMENT [P.EX. AU MOYEN DE GAZ SULFUREUX OU DANS DE L'EAU SALÉE, SOUFRÉE OU ADDITIONNÉE D'AUTRES SUBSTANCES SERVANT À ASSURER PROVISOIREMENT LEUR CONSERVATION], MAIS IMPROPRES À L'ALIMENTATION EN L'É</t>
  </si>
  <si>
    <t>=t("   Citrons "Citrus limon, Citrus limonum" et limes "Citrus aurantifolia, Citrus latifolia", frais ou secs")</t>
  </si>
  <si>
    <t>=t("   Tamarins, pommes de cajou, fruits du jaquier [pain des singes], litchis, sapotilles, fruits de la passion, caramboles, pitahayas et autres fruits comestibles frais (sauf fruits à coque, bananes, dattes, figues, ananas, avocats, goyaves, mangues, ma</t>
  </si>
  <si>
    <t xml:space="preserve">=t("   FRUITS COMESTIBLES, NON-CUITS OU CUITS À L'EAU OU À LA VAPEUR, CONGELÉS, MÊME ADDITIONNÉS DE SUCRE OU D'AUTRES ÉDULCORANTS (À L'EXCL. DES FRAISES, DES FRAMBOISES, DES MÛRES DE RONCE OU DE MÛRIER, DES MÛRES-FRAMBOISES ET DES GROSEILLES À GRAPPES OU </t>
  </si>
  <si>
    <t>=t("   THÉ NOIR [FERMENTÉ] ET THÉ PARTIELLEMENT FERMENTÉ, MÊME AROMATISÉS, PRÉSENTÉS EN EMBALLAGES IMMÉDIATS D'UN CONTENU &lt;= 3 KG [01/01/1988-31/12/1991: THÉ NOIR [THÉ FERMENTE], ET THÉ PARTIELLEMENT FERMENTE, PRESENTES EN EMBALLAGES IMMEDIATS D'UN CONTEN</t>
  </si>
  <si>
    <t>=t("   THÉ NOIR [FERMENTÉ] ET THÉ PARTIELLEMENT FERMENTÉ, MÊME AROMATISÉS, PRÉSENTÉS EN EMBALLAGES IMMÉDIATS D'UN CONTENU &gt; 3 KG [01/01/1988-31/12/1991: THÉ NOIR [THÉ FERMENTE], ET THÉ PARTIELLEMENT FERMENTE, PRESENTES EN EMBALLAGES IMMEDIATS D'UN CONTENU</t>
  </si>
  <si>
    <t>=t("   ÉPICES (SAUF POIVRE [DU GENRE PIPER], PIMENTS DU GENRE CAPSICUM OU DU GENRE PIMENTA, VANILLE, CANNELLE ET FLEURS DE CANNELIER, GIROFLES [ANTOFLES, CLOUS ET GRIFFES], NOIX DE MUSCADE, MACIS, AMOMES ET CARDAMOMES, GRAINES D'ANIS, DE BADIANE, DE FENOU</t>
  </si>
  <si>
    <t>=t("   GRAINES ET FRUITS OLÉAGINEUX, MÊME CONCASSÉS (À L'EXCL. DES FRUITS À COQUE COMESTIBLES, DES OLIVES, DES FÈVES DE SOJA, DES ARACHIDES, DU COPRAH ET DES GRAINES DE LIN, DE NAVETTE, DE COLZA, DE TOURNESOL, DE COTON, DE SÉSAME, DE MOUTARDE, D'OEILLETTE</t>
  </si>
  <si>
    <t>=t("   GRAINES FOURRAGÈRES, À ENSEMENCER (À L'EXCL. DES GRAINES DE CÉRÉALES, DE BETTERAVES À SUCRE, DE LUZERNE, DE TRÈFLE [TRIFOLIUM SPP.], DE FÉTUQUE, DE PÂTURIN DES PRÉS DU KENTUCKY [POA PRATENSIS L.] ET DE RAY-GRASS [LOLIUM MULTIFLORUM LAM. ET LOLIUM P</t>
  </si>
  <si>
    <t>=t("   Graines, fruits et spores à ensemencer (à l'excl. des légumes à cosse, du maïs doux, café, thé, maté, des épices, céréales, graines et fruits oléagineux, betteraves, plantes fourragères, graines de légumes ainsi que des graines de plantes herbacées</t>
  </si>
  <si>
    <t>=t("   PLANTES, PARTIES DE PLANTES, GRAINES ET FRUITS DES ESPÈCES UTILISÉES PRINCIPALEMENT EN PARFUMERIE, EN MÉDECINE OU À USAGES INSECTICIDES, PARASITICIDES OU SIMIL., FRAIS OU SECS, MÊME COUPÉS, CONCASSÉS OU PULVÉRISÉS (À L'EXCL. DES RACINES DE GINSENG,</t>
  </si>
  <si>
    <t>=t("   Rutabagas, betteraves fourragères, racines fourragères, foin, luzerne, trèfle, sainfoin, choux fourragers, lupin, vesces et produits fourragers simil., même agglomérés sous forme de pellets (à l'excl. de la farine et des agglomérés sous forme de pe</t>
  </si>
  <si>
    <t>=t("   Huiles et leurs fractions, obtenues exclusivement à partir d'olives et par des procédés autres que ceux mentionnés au n° 1509, même raffinées, mais non chimiquement modifiées et mélanges de ces huiles ou fractions avec des huiles ou fractions du n°</t>
  </si>
  <si>
    <t>=t("   Huiles de navette ou de colza à faible teneur en acide érucique "huiles fixes dont la teneur en acide érucique est &lt; 2%" et leurs fractions, même raffinées, mais non chimiquement modifiées (à l'excl. des huiles brutes)")</t>
  </si>
  <si>
    <t>=t("   Graisses et huiles végétales et leurs fractions, fixes, même raffinées, mais non chimiquement modifiées (à l'excl. des huiles de soja, d'arachide, d'olive, de palme, de tournesol, de carthame, de coton, de coco [coprah], de palmiste, de babassu, de</t>
  </si>
  <si>
    <t xml:space="preserve">=t("   Mélanges ou préparations alimentaires de graisses ou huiles animales ou végétales ou de fractions comestibles de différentes graisses ou huiles (sauf graisses et huiles et leurs fractions, partiellement ou totalement hydrogénées, interestérifiées, </t>
  </si>
  <si>
    <t xml:space="preserve">=t("   Préparations à base de foie de différentes espèces animales (à l'excl. des saucisses, saucissons et produits simil. ainsi que des préparations finement homogénéisées, conditionnées pour la vente au détail comme aliments pour enfants ou pour usages </t>
  </si>
  <si>
    <t>=t("   Préparations et conserves de viande ou d'abats de dinde des espèces domestiques (à l'excl. des saucisses, saucissons et produits simil., des préparations finement homogénéisées, conditionnées pour la vente au détail comme aliments pour enfants ou p</t>
  </si>
  <si>
    <t>=t("   Préparations et conserves de viande ou d'abats de coqs et de poules [des espèces domestiques] (à l'excl. des saucisses, saucissons et produits simil., des préparations finement homogénéisées, conditionnées pour la vente au détail comme aliments pou</t>
  </si>
  <si>
    <t>=t("   Préparations et conserves de viande ou d'abats de canard, d'oie et de pintade [des espèces domestiques] (à l'excl. des saucisses, saucissons et produits simil., des préparations finement homogénéisées, conditionnées pour la vente au détail comme al</t>
  </si>
  <si>
    <t xml:space="preserve">=t("   Préparations et conserves de viande ou d'abats d'animaux de l'espèce porcine, y.c. les mélanges (à l'excl. des préparations et conserves constituées uniquement de jambons et de morceaux de jambon ou d'épaule et de morceaux d'épaule, des saucisses, </t>
  </si>
  <si>
    <t xml:space="preserve">=t("   Préparations et conserves de viande ou d'abats d'animaux de l'espèce bovine (à l'excl. des saucisses, saucissons et produits simil., des préparations finement homogénéisées, conditionnées pour la vente au détail comme aliments pour enfants ou pour </t>
  </si>
  <si>
    <t>=t("   Préparations et conserves à base de viande, d'abats ou de sang (à l'excl. des préparations et conserves de viande ou d'abats de volailles, de porcins et de bovins, des saucisses, saucissons et produits simil., des préparations finement homogénéisée</t>
  </si>
  <si>
    <t>=t("   Préparations et conserves de poissons entiers ou en morceaux (à l'excl. des préparations et conserves de poissons hachés, de saumons, de harengs, de sardines, de sardinelles, de sprats ou esprots, de thons, de listaos, de bonites 'Sarda spp.', de m</t>
  </si>
  <si>
    <t>=t("   Sucres, y.c. le sucre inverti [ou interverti] et le maltose chimiquement pur, à l'état solide, sucres et sirops de sucres contenant en poids à l'état sec 50% de fructose, sans addition d'aromatisants ou de colorants, succédanés du miel, même mélang</t>
  </si>
  <si>
    <t>=t("   Chocolat et autres préparations alimentaires contenant du cacao, présentés soit en blocs ou en barres d'un poids &gt; 2 kg, soit à l'état liquide ou pâteux ou en poudres, granulés ou formes simil., en récipients ou en emballages immédiats, d'un conten</t>
  </si>
  <si>
    <t>=t("   Préparations alimentaires de farines, gruaux, semoules, amidons, fécules ou extraits de malt, ne contenant pas de cacao ou contenant &lt; 40% en poids de cacao calculés sur une base entièrement dégraissée, n.d.a.; préparations alimentaires à base de l</t>
  </si>
  <si>
    <t>=t("   Mélanges et pâtes à base de farines, gruaux, semoules, amidons, fécules ou extraits de malt, ne contenant pas de cacao ou contenant &lt; 40% en poids de cacao calculés sur une base entièrement dégraissée, n.d.a.; mélanges et pâtes à base de lait, de c</t>
  </si>
  <si>
    <t>=t("   Extraits de malt; préparations alimentaires de farines, gruaux, semoules, amidons, fécules ou extraits de malt, ne contenant pas de cacao ou contenant &lt; 40% en poids de cacao calculés sur une base entièrement dégraissée, n.d.a.; préparations alimen</t>
  </si>
  <si>
    <t>=t("   Céréales (à l'excl. du maïs) en grains ou sous forme de flocons ou de grains autrement travaillés, précuites ou autrement préparées, n.d.a. (à l'excl. de la farine, du gruau et de la semoule, des préparations alimentaires à base de flocons de céréa</t>
  </si>
  <si>
    <t>=t("   Produits de la boulangerie, pâtisserie ou biscuiterie, même additionnés de cacao, hosties, cachets vides des types utilisés pour médicaments, pains à cacheter, pâtes séchées de farine, d'amidon ou de fécule en feuilles et produits simil. (sauf pain</t>
  </si>
  <si>
    <t>=t("   LÉGUMES ET MÉLANGES DE LÉGUMES, PRÉPARÉS OU CONSERVÉS AUTREMENT QU'AU VINAIGRE OU À L'ACIDE ACÉTIQUE, NON-CONGELÉS (À L'EXCL. DES LÉGUMES CONFITS AU SUCRE, DES LÉGUMES HOMOGÉNÉISÉS DU N° 2005.10, AINSI QUE DES TOMATES, DES CHAMPIGNONS, DES TRUFFES,</t>
  </si>
  <si>
    <t>=t("   Confitures, gelées, marmelades, purées et pâtes de fruits, obtenues par cuisson, avec ou sans addition de sucre ou d'autres édulcorants, présentées sous la forme de préparations finement homogénéisées, conditionnées pour la vente au détail comme al</t>
  </si>
  <si>
    <t xml:space="preserve">=t("   Confitures, gelées, marmelades, purées et pâtes de fruits, obtenues par cuisson, avec ou sans addition de sucre ou d'autres édulcorants (à l'excl. des préparations homogénéisées du n° 2007.10 ainsi que des confitures, gelées, marmelades, purées et </t>
  </si>
  <si>
    <t>=t("   FRUITS À COQUE ET AUTRES GRAINES, Y.C. LES MÉLANGES, PRÉPARÉS OU CONSERVÉS (SAUF PRÉPARÉS OU CONSERVÉS AU VINAIGRE OU À L'ACIDE ACÉTIQUE, CONFITS AU SUCRE MAIS NON-CONSERVÉS DANS DU SIROP ET À L'EXCL. DES CONFITURES, GELÉES DE FRUITS, MARMELADES, P</t>
  </si>
  <si>
    <t>=t("   CERISES, PRÉPARÉES OU CONSERVÉES, AVEC OU SANS ADDITION DE SUCRE OU D'AUTRES ÉDULCORANTS OU D'ALCOOL (SAUF CONFITES AU SUCRE MAIS NON-CONSERVÉES DANS DU SIROP ET À L'EXCL. DES CONFITURES, GELÉES DE FRUITS, MARMELADES, PURÉES ET PÂTES DE FRUITS OBTE</t>
  </si>
  <si>
    <t>=t("   Préparations alimentaires composites homogénéisées consistant en un mélange finement homogénéisé de plusieurs substances de base, telles que viande, poisson, légumes, fruits, conditionnées pour la vente au détail comme aliments pour enfants ou pour</t>
  </si>
  <si>
    <t>=t("   CIDRE, POIRÉ, HYDROMEL ET AUTRES BOISSONS FERMENTÉES; MÉLANGES DE BOISSONS FERMENTÉES ET MÉLANGES DE BOISSONS FERMENTÉES ET DE BOISSONS NON-ALCOOLIQUES, N.D.A. (À L'EXCL. DE LA BIÈRE, DES VINS DE RAISINS FRAIS, DES MOÛTS DE RAISINS AINSI QUE DES VE</t>
  </si>
  <si>
    <t>=t("   ALCOOL ÉTHYLIQUE D'UN TITRE ALCOOMÉTRIQUE VOLUMIQUE &lt; 80% VOL, NON-DÉNATURÉ; EAUX-DE-VIE ET AUTRES BOISSONS SPIRITUEUSES (À L'EXCL. DES EAUX-DE-VIE DE VIN OU DE MARC DE RAISINS, DES WHISKIES, DU RHUM ET AUTRES EAUX-DE-VIE PROVENANT DE LA DISTILLATI</t>
  </si>
  <si>
    <t>=t("   TOURTEAUX ET AUTRES RÉSIDUS SOLIDES, MÊME BROYÉS OU AGGLOMÉRÉS SOUS FORME DE PELLETS, DE L'EXTRACTION DES GRAISSES OU HUILES DE NAVETTE OU DE COLZA D'UNE TENEUR ÉLEVÉE EN ACIDE ÉRUCIQUE 'FOURNISSANT UNE HUILE FIXE DONT LA TENEUR EN ACIDE ÉRUCIQUE E</t>
  </si>
  <si>
    <t>=t("   SEL, Y.C. LE SEL PRÉPARÉ POUR LA TABLE ET LE SEL DÉNATURÉ, ET CHLORURE DE SODIUM PUR, MÊME EN SOLUTION AQUEUSE OU ADDITIONNÉS D'AGENTS ANTIAGGLOMÉRANTS OU D'AGENTS ASSURANT UNE BONNE FLUIDITÉ; EAU DE MER [01/01/1988-31/12/1991: SEL, Y.C. LE SEL PRE</t>
  </si>
  <si>
    <t>=t("   Ecaussines et autres pierres calcaires de taille ou de construction, d'une densité apparente &gt;= 2,5, et albâtre, même dégrossis ou simplement débités, par sciage ou autrement, en blocs ou en plaques de forme carrée ou rectangulaire (à l'excl. des m</t>
  </si>
  <si>
    <t>=t("   Acides inorganiques (à l'excl. de l'oléum, des oxydes de bore, du pentaoxyde de diphosphore, du chlorure d'hydrogène [acide chlorhydrique], du fluorure d'hydrogène [acide fluorhydrique] ainsi que des acides sulfurique, chlorosulfurique, nitrique, s</t>
  </si>
  <si>
    <t>=t("   CARBONATES ET PEROXOCARBONATES [PERCARBONATES]; CARBONATES D'AMMONIUM - Y.C. LE CARBONATE D'AMMONIUM DU COMMERCE CONTENANT DU CARBAMATE D'AMMONIUM (À L'EXCL. DE L'HYDROGÉNOCARBONATE [BICARBONATE] DE SODIUM, DES CARBONATES DE DISODIUM, DE POTASSIUM,</t>
  </si>
  <si>
    <t>=t("   SELS DES ACIDES OU PEROXOACIDES INORGANIQUES (À L'EXCL. DES AZOTURES, DES SELS DES ACIDES OXOMÉTALLIQUES OU PEROXOMÉTALLIQUES AINSI QUE DES SILICATES DOUBLES OU COMPLEXES [Y.C. LES ALUMINOSILICATES DE CONSTITUTION CHIMIQUE DÉFINIE OU NON] AINSI QUE</t>
  </si>
  <si>
    <t xml:space="preserve">=t("   Monoalcools acycliques saturés (à l'excl. du méthanol [alcool méthylique], du propane-1-ol [alcool propylique], du propane-2-ol [alcool isopropylique], des butanols, du pentanol [alcool amylique] et ses isomères, de l'octanol [alcool octylique] et </t>
  </si>
  <si>
    <t>=t("   ACIDES MONOCARBOXYLIQUES ACYCLIQUES SATURÉS, ANHYDRIDES, HALOGÉNURES, PEROXYDES, PEROXYACIDES ET DÉRIVÉS HALOGÉNÉS, SULFONÉS, NITRÉS OU NITROSÉS (À L'EXCL. DES ACIDES FORMIQUE, ACÉTIQUE, MONO- OU TRICHLOROACÉTIQUES, PROPIONIQUE, BUTANOÏQUES, PENTAN</t>
  </si>
  <si>
    <t>=t("   Acides monocarboxyliques aromatiques, leurs anhydrides, halogénures, peroxydes, peroxyacides et leurs dérivés halogénés, sulfonés, nitrés ou nitrosés (à l'excl. des acides benzoïque ou phénylacétique et des sels et esters de ces produits ainsi qu'à</t>
  </si>
  <si>
    <t>=t("   Acides carboxyliques contenant des fonctions oxygénées supplémentaires, leurs anhydrides, halogénures, peroxydes, peroxyacides et leurs dérivés halogénés, sulfonés, nitrés ou nitrosés (à l'excl. des acides contenant uniquement la fonction alcool, p</t>
  </si>
  <si>
    <t>=t("   Composés à fonctions azotées (sauf isocyanates, composés aminés à fonctions oxygénées, sels et hydroxydes organiques d'ammonium quaternaires, lécithines et autres phosphoaminolipides, composés à fonction amide de l'acide carbonique, composés à fonc</t>
  </si>
  <si>
    <t>=t("   Composés hétérocycliques à hétéroatome[s] d'azote exclusivement (à l'excl. des composés comportant une structure à cycles quinoléine ou isoquinoléine, hydrogénés ou non, sans autres condensations ainsi que des composés dont la structure comporte un</t>
  </si>
  <si>
    <t>=t("   Acides nucléiques et leurs sels, de constitution chimique définie ou non; composés hétérocycliques (à l'excl. des composés à hétératome[s] d'oxygène exclusivement ou des composés à hétératome[s] d'azote exclusivement, des composés dont la structure</t>
  </si>
  <si>
    <t>=t("   Sucres chimiquement purs (à l'excl. du saccharose, du lactose, du maltose, du glucose et du fructose [lévulose]); éthers, acétals et esters de sucres et leurs sels (à l'excl. des provitamines, des vitamines, des hormones, des hétérosides et des alc</t>
  </si>
  <si>
    <t>=t("   Médicaments constitués par des produits mélangés entre eux, préparés à des fins thérapeutiques ou prophylactiques, mais ni présentés sous forme de doses, ni conditionnés pour la vente au détail (sauf produits du n° 3002, 3005 ou 3006, médicaments c</t>
  </si>
  <si>
    <t>=t("   Médicaments contenant des pénicillines ou des dérivés de ces produits, à structure d'acide pénicillanique, ou des streptomycines ou des dérivés de ces produits, présentés sous forme de doses [y.c. ceux destinés à être administrés par voie percutané</t>
  </si>
  <si>
    <t>=t("   Médicaments contenant des antibiotiques, présentés sous forme de doses [y.c. ceux destinés à être administrés par voie percutanée] ou conditionnés pour la vente au détail (à l'excl. des produits contenant des pénicillines ou des dérivés de ces prod</t>
  </si>
  <si>
    <t>=t("   Médicaments contenant des hormones ou des stéroïdes utilisés comme hormones, mais ne contenant pas d'antibiotiques, présentés sous forme de doses [y.c. ceux destinés à être administrés par voie percutanée] ou conditionnés pour la vente au détail (à</t>
  </si>
  <si>
    <t>=t("   Médicaments contenant des provitamines, des vitamines, y.c. les concentrats naturels, ou des dérivés de ces produits utilisés principalement en tant que vitamines, présentés sous forme de doses [y.c. ceux destinés à être administrés par voie percut</t>
  </si>
  <si>
    <t>=t("   Médicaments constitués par des produits mélangés ou non, préparés à des fins thérapeutiques ou prophylactiques, présentés sous forme de doses [y.c. ceux destinés à être administrés par voie percutanée] ou conditionnés pour la vente au détail (à l'e</t>
  </si>
  <si>
    <t>=t("   OUATES, GAZES, BANDES ET ARTICLES ANALOGUES [PANSEMENTS, SPARADRAPS, SINAPISMES, P.EX.], IMPRÉGNÉS OU RECOUVERTS DE SUBSTANCES PHARMACEUTIQUES OU CONDITIONNÉS POUR LA VENTE AU DÉTAIL À DES FINS MÉDICALES, CHIRURGICALES, DENTAIRES OU VÉTÉRINAIRES (À</t>
  </si>
  <si>
    <t>=t("   CATGUTS STÉRILES, LIGATURES STÉRILES SIMIL. POUR SUTURES CHIRURGICALES, Y.C. FILS RÉSORBABLES STÉRILES POUR LA CHIRURGIE OU L'ART DENTAIRE, ET ADHÉSIFS STÉRILES POUR TISSUS ORGANIQUES UTILISÉS EN CHIRURGIE POUR REFERMER LES PLAIES; LAMINAIRES STÉRI</t>
  </si>
  <si>
    <t xml:space="preserve">=t("   Préparations présentées sous forme de gel conçues pour être utilisées en médecine humaine ou vétérinaire comme lubrifiant pour certaines parties du corps lors des opérations chirurgicales ou des examens médicaux ou comme agent de couplage entre le </t>
  </si>
  <si>
    <t>=t("   Engrais d'origine animale ou végétale, même mélangés entre eux ou traités chimiquement; engrais résultant du mélange ou du traitement chimique de produits d'origine animale ou végétale (à l'excl. des produits présentés soit en tablettes ou formes s</t>
  </si>
  <si>
    <t>=t("   Dihydrogénoorthophosphate d'ammonium [phosphate monoammonique], même en mélange avec l'hydrogénoorthophosphate de diammonium [phosphate diammonique] (à l'excl. des produits présentés soit en tablettes ou formes simil., soit en emballages d'un poids</t>
  </si>
  <si>
    <t>=t("   Engrais minéraux ou chimiques contenant les deux éléments fertilisants : azote et potassium ou ne contenant qu'un seul élément fertilisant principal, y.c. les mélanges d'engrais d'origine animale ou végétale avec des engrais chimiques ou minéraux (</t>
  </si>
  <si>
    <t>=t("   Matières colorantes d'origine végétale ou animale, y.c. les extraits tinctoriaux (sauf les noirs d'origine animale), même de constitution chimique définie; préparations à base de matières colorantes d'origine végétale ou animale ou bien destinées à</t>
  </si>
  <si>
    <t>=t("   Colorants organiques synthétiques dispersés; préparations à base de colorants organiques synthétiques dispersés, des types utilisés pour colorer toute matière ou bien destinées à entrer comme ingrédients dans la fabrication de préparations colorant</t>
  </si>
  <si>
    <t>=t("   Colorants organiques synthétiques acides, même métallisés, et colorants organiques synthétiques à mordants; préparations à base de colorants organiques synthétiques acides ou à mordants, des types utilisés pour colorer toute matière ou bien destiné</t>
  </si>
  <si>
    <t>=t("   Colorants organiques synthétiques basiques; préparations à base de colorants organiques synthétiques basiques, des types utilisés pour colorer toute matière ou bien destinées à entrer comme ingrédients dans la fabrication de préparations colorantes</t>
  </si>
  <si>
    <t>=t("   Colorants organiques synthétiques directs; préparations à base de colorants organiques synthétiques directs, des types utilisés pour colorer toute matière ou bien destinées à entrer comme ingrédients dans la fabrication de préparations colorantes (</t>
  </si>
  <si>
    <t>=t("   Colorants organiques synthétiques pigmentaires; préparations à base de colorants organiques synthétiques pigmentaires, des types utilisés pour colorer toute matière ou bien destinées à entrer comme ingrédients dans la fabrication de préparations co</t>
  </si>
  <si>
    <t>=t("   Matières colorantes organiques synthétiques (sauf colorants dispersés, acides, à mordants, basiques, directs, de cuve, réactifs et pigmentaires); préparations à base de matières colorantes organiques synthétiques ou bien destinées à entrer comme in</t>
  </si>
  <si>
    <t>=t("   Pigments et préparations à base de dioxyde de titane, contenant en poids &gt;= 80% de dioxyde de titane calculé sur matière sèche, des types utilisés pour colorer toute matière ou bien destinés à entrer comme ingrédients dans la fabrication de prépara</t>
  </si>
  <si>
    <t>=t("   Pigments et préparations à base de composés du chrome, des types utilisés pour colorer toute matière ou bien destinés à entrer comme ingrédients dans la fabrication de préparations colorantes (à l'excl. des préparations du n° 3207, 3208, 3209, 3210</t>
  </si>
  <si>
    <t>=t("   Matières colorantes inorganiques ou minérales, n.d.a.; préparations à base de matières colorantes inorganiques ou minérales, des types utilisés pour colorer toute matière ou bien destinées à entrer comme ingrédients dans la fabrication de préparati</t>
  </si>
  <si>
    <t>=t("   PEINTURES ET VERNIS À BASE DE POLYMÈRES ACRYLIQUES OU VINYLIQUES, DISPERSÉS OU DISSOUS DANS UN MILIEU NON-AQUEUX, ET PRODUITS À BASE DE POLYMÈRES ACRYLIQUES OU VINYLIQUES EN SOLUTION DANS DES SOLVANTS ORGANIQUES VOLATILS, POUR AUTANT QUE LA PROPORT</t>
  </si>
  <si>
    <t xml:space="preserve">=t("   PEINTURES ET VERNIS À BASE DE POLYMÈRES SYNTHÉTIQUES OU DE POLYMÈRES NATURELS MODIFIÉS, DISPERSÉS OU DISSOUS DANS UN MILIEU NON-AQUEUX; PRODUITS VISÉS DANS LE LIBELLÉ DU N° 3901 À 3913 EN SOLUTION DANS DES SOLVANTS ORGANIQUES VOLATILS, POUR AUTANT </t>
  </si>
  <si>
    <t>=t("   PIGMENTS, Y.C. LES POUDRES ET FLOCONS MÉTALLIQUES, DISPERSÉS DANS DES MILIEUX NON-AQUEUX, SOUS FORME DE LIQUIDE OU DE PÂTE, DES TYPES UTILISÉS POUR LA FABRICATION DE PEINTURES; TEINTURES ET AUTRES MATIÈRES COLORANTES, N.D.A., PRÉSENTÉES DANS DES FO</t>
  </si>
  <si>
    <t xml:space="preserve">=t("   Oléorésines d'extraction; solutions concentrées d'huiles essentielles dans les graisses, les huiles fixes, les cires ou matières analogues, obtenues par enfleurage ou macération; sous-produits terpéniques résiduaires de la déterpénation des huiles </t>
  </si>
  <si>
    <t>=t("   Mélanges de substances odoriférantes et mélanges, y.c. les solutions alcooliques, à base d'une ou de plusieurs de ces substances, des types utilisés comme matières de base pour l'industrie (à l'excl. des mélanges des types utilisés pour les industr</t>
  </si>
  <si>
    <t>=t("   Produits de beauté ou de maquillage préparés et préparations pour l'entretien ou les soins de la peau, y.c. les préparations antisolaires et les préparations pour bronzer (à l'excl. des médicaments, des produits de maquillage pour les lèvres ou les</t>
  </si>
  <si>
    <t>=t("   Savons, produits et préparations organiques tensio-actifs à usage de savon, en barres, en pains, en morceaux ou en sujets frappés, et papier, ouates, feutres et nontissés, imprégnés, enduits ou recouverts de savon ou de détergents, pour la toilette</t>
  </si>
  <si>
    <t>=t("   Savons, produits et préparations organiques tensio-actifs à usage de savon, en barres, en pains, en morceaux ou en sujets frappés, et papier, ouates, feutres et nontissés, imprégnés, enduits ou recouverts de savon ou de détergents (à l'excl. des pr</t>
  </si>
  <si>
    <t>=t("   Préparations tensio-actives, préparations pour lessives, préparations auxiliaires de lavage et préparations de nettoyage, conditionnées pour la vente au détail (à l'excl. des agents de surface organiques, des savons et des préparations organiques t</t>
  </si>
  <si>
    <t>=t("   Préparations tensio-actives, préparations pour lessives, préparations auxiliaires de lavage et préparations de nettoyage (à l'excl. des préparations conditionnées pour la vente au détail, des agents de surface organiques, des savons et des préparat</t>
  </si>
  <si>
    <t>=t("   Préparations lubrifiantes, y.c. huiles de coupe, préparations pour le dégrippage des écrous, préparations antirouille ou anticorrosion, préparations pour le démoulage, à base de lubrifiants, contenant des huiles de pétrole ou de minéraux bitumineux</t>
  </si>
  <si>
    <t>=t("   Préparations lubrifiantes, y.c. les huiles de coupe, les préparations pour le dégrippage des écrous, les préparations antirouille ou anticorrosion et les préparations pour le démoulage, à base de lubrifiants, ne contenant pas d'huiles de pétrole ou</t>
  </si>
  <si>
    <t>=t("   CIRES ARTIFICIELLES ET CIRES PRÉPARÉES (À L'EXCL. DES CIRES DE LIGNITE MODIFIÉ CHIMIQUEMENT ET DES CIRES DE POLY"OXYÉTHYLÈNE" [POLYÉTHYLÈNEGLYCOLS])")</t>
  </si>
  <si>
    <t>=t("   Cirages, crèmes et préparations simil. pour l'entretien des chaussures ou du cuir, même sous forme de papier, ouates, feutres, nontissés, matière plastique ou caoutchouc alvéolaires, imprégnés, enduits ou recouverts de ces préparations (à l'excl. d</t>
  </si>
  <si>
    <t>=t("   Encaustiques et préparations simil. pour l'entretien des meubles en bois, des parquets ou d'autres boiseries, même sous forme de papier, ouates, feutres, nontissés, matière plastique ou caoutchouc alvéolaires, imprégnés, enduits ou recouverts de ce</t>
  </si>
  <si>
    <t>=t("   Brillants et préparations simil. pour carrosseries, même sous forme de papier, ouates, feutres, nontissés, matière plastique ou caoutchouc alvéolaires, imprégnés, enduits ou recouverts de ces préparations (à l'excl. des brillants pour métaux et des</t>
  </si>
  <si>
    <t>=t("   Ferrocérium et autres alliages pyrophoriques sous toutes formes; métaldéhyde, hexaméthylènetétramine et produits simil., présentés en tablettes, bâtonnets ou sous des formes simil. impliquant leur utilisation comme combustibles; combustibles à base</t>
  </si>
  <si>
    <t>=t("   Plaques et films plans, photographiques, sensibilisés, non impressionnés, pour la photographie en couleurs [polychrome], en autres matières que le papier, le carton ou les textiles (à l'excl. des films à développement et tirage instantanés ainsi qu</t>
  </si>
  <si>
    <t>=t("   PELLICULES PHOTOGRAPHIQUES "Y.C. À DÉVELOPPEMENT ET TIRAGE INSTANTANÉS", SENSIBILISÉES, NON-IMPRESSIONNÉES, NON-PERFORÉES, EN ROULEAUX, D'UNE LARGEUR &lt;= 105 MM, POUR LA PHOTOGRAPHIE EN COULEURS [POLYCHROME] (À L'EXCL. DES PRODUITS EN PAPIER, EN CAR</t>
  </si>
  <si>
    <t>=t("   Pellicules photographiques sensibilisées, non impressionnées, non perforées, en rouleaux, d'une largeur &lt;= 105 mm, pour la photographie en monochrome (à l'excl. des pellicules pour rayons X, des produits en papier, en carton ou en matières textiles</t>
  </si>
  <si>
    <t>=t("   PELLICULES PHOTOGRAPHIQUES SENSIBILISÉES, NON-IMPRESSIONNÉES, PERFORÉES, EN ROULEAUX, D'UNE LARGEUR &gt; 16 MM MAIS &lt;= 35 MM ET D'UNE LONGUEUR &lt;= 30 M, POUR LA PHOTOGRAPHIE EN COULEURS [POLYCHROME] (SAUF EN PAPIER, EN CARTON OU EN MATIÈRES TEXTILES ET</t>
  </si>
  <si>
    <t>=t("   Pellicules photographiques sensibilisées, non impressionnées, perforées, en rouleaux, d'une largeur &gt; 35 mm, pour la photographie en monochrome (à l'excl. des pellicules pour rayons X, des microfilms, des films pour les arts graphiques ainsi que de</t>
  </si>
  <si>
    <t>=t("   PRÉPARATIONS CHIMIQUES POUR USAGES PHOTOGRAPHIQUES, Y.C. LES PRODUITS NON-MÉLANGÉS, SOIT DOSÉS EN VUE D'USAGES PHOTOGRAPHIQUES, SOIT CONDITIONNÉS POUR LA VENTE AU DÉTAIL POUR CES MÊMES USAGES ET PRÊTS À L'EMPLOI (À L'EXCL. DES VERNIS, COLLES, ADHÉS</t>
  </si>
  <si>
    <t>=t("   Dipentène brut; essence de papeterie au bisulfite et autres paracymènes bruts; essences terpéniques provenant de la distillation ou d'autres traitements des bois de conifères (à l'excl. des essences de térébenthine, de bois de pin ou de papeterie a</t>
  </si>
  <si>
    <t>=t("   Dérivés des colophanes, y.c. les sels des adducts de colophanes, et des acides résiniques, essence de colophane, huiles de colophane et gommes fondues (à l'excl. des sels de colophanes, d'acides résiniques ou de sels des dérivés de colophanes ou d'</t>
  </si>
  <si>
    <t>=t("   Agents d'apprêt ou de finissage, accélérateurs de teinture ou de fixation de matières colorantes et autres produits et préparations [parements préparés et préparations pour le mordançage, par exemple], des types utilisés dans l'industrie du cuir ou</t>
  </si>
  <si>
    <t>=t("   AGENTS D'APPRET OU DE FINISSAGE, ACCELERATEURS DE TEINTURE OU DE FIXATION DE MATIÈRES COLORANTES ET AUTRES PRODUITS ET PRÉPARATIONS [PAREMENTS PREPARES ET PRÉPARATIONS POUR LE MORDANCAGE, PAR EXEMPLE], DES TYPES UTILISÉS DANS L'INDUSTRIE DU CUIR OU</t>
  </si>
  <si>
    <t>=t("   Flux à souder ou à braser et autres préparations auxiliaires pour le soudage ou le brasage des métaux; préparations des types utilisés pour l'enrobage ou le fourrage des électrodes ou des baguettes de soudage (à l'excl. des pâtes et poudres composé</t>
  </si>
  <si>
    <t>=t("   Inhibiteurs d'oxydation, additifs peptisants, améliorants de viscosité, additifs anticorrosifs et autres additifs préparés, pour huiles minérales - y.c. l'essence - ou pour autres liquides utilisés aux mêmes fins que les huiles minérales (à l'excl.</t>
  </si>
  <si>
    <t>=t("   ÉLÉMENTS CHIMIQUES ET COMPOSÉS CHIMIQUES DOPÉS EN VUE DE LEUR UTILISATION EN ÉLECTRONIQUE, PRÉSENTÉS SOUS FORME DE DISQUES OU FORMES ANALOGUES OU ENCORE EN CYLINDRES, BARRES, ETC., OU DÉCOUPÉS EN DISQUES, PLAQUES OU FORMES ANALOGUES, POLIS OU NON E</t>
  </si>
  <si>
    <t xml:space="preserve">=t("   Réactifs de diagnostic ou de laboratoire sur tout support et réactifs de diagnostic ou de laboratoire préparés, même présentés sur un support ainsi que des matériaux de référence certifiés (à l'excl. des réactifs composés de diagnostic conçus pour </t>
  </si>
  <si>
    <t>=t("   POLYMÈRES DES ESTERS DE VINYLE ET AUTRES POLYMÈRES DE VINYLE, SOUS FORMES PRIMAIRES (À L'EXCL. DES POLYMÈRES DU CHLORURE DE VINYLE OU D'AUTRES OLÉFINES HALOGÉNÉES, DU POLY[ACÉTATE DE VINYLE], DES COPOLYMÈRES AINSI QUE DU POLY[ALCOOL VINYLIQUE], MÊM</t>
  </si>
  <si>
    <t xml:space="preserve">=t("   Monofilaments dont la plus grande dimension de la coupe transversale &gt; 1 mm [monofils], joncs, bâtons et profilés, même ouvrés en surface mais non autrement travaillés, en matières plastiques (à l'excl. des monofilaments en polymères de l'éthylène </t>
  </si>
  <si>
    <t>=t("   Revêtements de sols, même auto-adhésifs, en rouleaux ou sous formes de carreaux ou de dalles, en polymères du chlorure de vinyle; revêtements de murs ou de plafonds en rouleaux d'une largeur &gt;= 45 cm, constitués d'une couche de matière plastique fi</t>
  </si>
  <si>
    <t>=t("   Revêtements de sols, même auto-adhésifs, en rouleaux ou sous formes de carreaux ou de dalles, et revêtements de murs ou de plafonds en rouleaux d'une largeur &gt;= 45 cm constitués d'une couche de matière plastique fixée en manière permanente sur un s</t>
  </si>
  <si>
    <t>=t("   Plaques, feuilles, bandes, rubans, pellicules et autres formes plates, auto-adhésifs, en matières plastiques, même en rouleaux (à l'excl. des produits en rouleaux d'une largeur &lt;= 20 cm ainsi que des revêtements de sols, de murs ou de plafonds du n</t>
  </si>
  <si>
    <t>=t("   PLAQUES, FEUILLES, PELLICULES, BANDES ET LAMES, EN POLYMÈRES DE L'ÉTHYLÈNE NON-ALVÉOLAIRES, NON-RENFORCÉES NI STRATIFIÉES, NI MUNIES D'UN SUPPORT, NI PAREILLEMENT ASSOCIÉES À D'AUTRES MATIÈRES, NON-TRAVAILLÉES OU SIMPL. OUVRÉES EN SURFACE OU SIMPL.</t>
  </si>
  <si>
    <t xml:space="preserve">=t("   PLAQUES, FEUILLES, PELLICULES, BANDES ET LAMES, EN POLYMÈRES DU PROPYLÈNE NON-ALVÉOLAIRES, NON-RENFORCÉES NI STRATIFIÉES, NI MUNIES D'UN SUPPORT, NI PAREILLEMENT ASSOCIÉES À D'AUTRES MATIÈRES, NON-TRAVAILLÉES OU SIMPL. OUVRÉES EN SURFACE OU SIMPL. </t>
  </si>
  <si>
    <t>=t("   PLAQUES, FEUILLES, PELLICULES, BANDES ET LAMES, EN POLYMÈRES DU CHLORURE DE VINYLE NON-ALVÉOLAIRES, CONTENANT EN POIDS &gt;= 6% DE PLASTIFIANTS, NON-RENFORCÉES NI STRATIFIÉES, NI MUNIES D'UN SUPPORT, NI PAREILLEMENT ASSOCIÉES À D'AUTRES MATIÈRES, NON-</t>
  </si>
  <si>
    <t>=t("   PLAQUES, FEUILLES, PELLICULES, BANDES ET LAMES, EN POLYMÈRES DU CHLORURE DE VINYLE NON-ALVÉOLAIRES, CONTENANT EN POIDS &lt; 6% DE PLASTIFIANTS, NON-RENFORCÉES NI STRATIFIÉES, NI MUNIES D'UN SUPPORT, NI PAREILLEMENT ASSOCIÉES À D'AUTRES MATIÈRES, NON-T</t>
  </si>
  <si>
    <t>=t("   PLAQUES, FEUILLES, PELLICULES, BANDES ET LAMES, EN POLYMÈRES ACRYLIQUES NON-ALVÉOLAIRES, NON-RENFORCÉES NI STRATIFIÉES, NI MUNIES D'UN SUPPORT, NI PAREILLEMENT ASSOCIÉES À D'AUTRES MATIÈRES, NON-TRAVAILLÉES OU SIMPL. OUVRÉES EN SURFACE OU SIMPL. DÉ</t>
  </si>
  <si>
    <t>=t("   PLAQUES, FEUILLES, PELLICULES, BANDES ET LAMES, EN POLY[ÉTHYLÈNE TÉRÉPHTALATE] NON-ALVÉOLAIRE, NON-RENFORCÉES NI STRATIFIÉES, NI MUNIES D'UN SUPPORT, NI PAREILLEMENT ASSOCIÉES À D'AUTRES MATIÈRES, NON-TRAVAILLÉES OU SIMPL. OUVRÉES EN SURFACE OU SIM</t>
  </si>
  <si>
    <t>=t("   Plaques, feuilles, pellicules, bandes et lames, en polyesters non saturés non alvéolaires, non renforcées ni stratifiées, ni munies d'un support, ni pareillement associées à d'autres matières, non travaillées ou simplement ouvrées en surface ou sim</t>
  </si>
  <si>
    <t>=t("   Plaques, feuilles, pellicules, bandes et lames, en polyesters non alvéolaires, non renforcées ni stratifiées, ni munies d'un support, ni pareillement associées à d'autres matières, non travaillées ou simplement ouvrées en surface ou simplement déco</t>
  </si>
  <si>
    <t>=t("   PLAQUES, FEUILLES, PELLICULES, BANDES ET LAMES, EN MATIÈRES PLASTIQUES NON-ALVÉOLAIRES, N.D.A., NON-RENFORCÉES NI STRATIFIÉES, NI MUNIES D'UN SUPPORT, NI PAREILLEMENT ASSOCIÉES À D'AUTRES MATIÈRES, NON-TRAVAILLÉES OU SIMPL. OUVRÉES EN SURFACE OU SI</t>
  </si>
  <si>
    <t xml:space="preserve">=t("   Plaques, feuilles, pellicules, bandes et lames, en polymères alvéolaires du styrène, non travaillées ou simplement ouvrées en surface ou simplement découpées de forme carrée ou rectangulaire (à l'excl. des produits auto-adhésifs et des revêtements </t>
  </si>
  <si>
    <t>=t("   Plaques, feuilles, pellicules, bandes et lames, en polymères alvéolaires du chlorure de vinyle, non travaillées ou simplement ouvrées en surface ou simplement découpées de forme carrée ou rectangulaire (à l'excl. des produits auto-adhésifs et des r</t>
  </si>
  <si>
    <t>=t("   Plaques, feuilles, pellicules, bandes et lames, en produits alvéolaires, non travaillées ou simplement ouvrées en surface ou simplement découpées de forme carrée ou rectangulaire (à l'excl. des produits en polymères du styrène ou du chlorure de vin</t>
  </si>
  <si>
    <t xml:space="preserve">=t("   PLAQUES, FEUILLES, PELLICULES, BANDES ET LAMES, EN MATIÈRES PLASTIQUES, RENFORCÉES, STRATIFIÉES, MUNIES D'UN SUPPORT OU PAREILLEMENT ASSOCIÉES À D'AUTRES MATIÈRES, NON-TRAVAILLÉES OU SIMPL. OUVRÉES EN SURFACE OU SIMPL. DÉCOUPÉES DE FORME CARRÉE OU </t>
  </si>
  <si>
    <t>=t("   Articles de transport ou d'emballage, en matières plastiques (à l'excl. des boîtes, caisses, casiers et articles simil., des sacs, sachets, pochettes et cornets, des bonbonnes, bouteilles, flacons et articles simil., des bobines, fusettes, canettes</t>
  </si>
  <si>
    <t>=t("   Articles de ménage ou d'économie domestique et articles d'hygiène ou de toilette, en matières plastiques (à l'excl. de la vaisselle et des articles pour usages sanitaires ou hygiéniques tels que baignoires, douches, lavabos, bidets, réservoirs de c</t>
  </si>
  <si>
    <t>=t("   ÉLÉMENTS STRUCTURAUX UTILISÉS NOTAMMENT POUR LA CONSTRUCTION DES SOLS, DES MURS, DES CLOISONS, DES PLAFONDS OU DES TOITS, EN MATIÈRES PLASTIQUES: GOUTTIÈRES ET ACCESSOIRES; RAMBARDES, BALUSTRADES, RAMPES ET BARRIÈRES SIMIL.; RAYONNAGES DE GRANDES D</t>
  </si>
  <si>
    <t>=t("   Caoutchouc synthétique et factice pour caoutchouc dérivé des huiles, sous formes primaires ou en plaques, feuilles ou bandes (sauf latex et caoutchoucs styrène-butadiène, styrène-butadiène carboxylé, butadiène, isobutène-isoprène [butyle], isobutèn</t>
  </si>
  <si>
    <t>=t("   Caoutchouc mélangé, non vulcanisé, en solutions ou en dispersions (à l'excl. du caoutchouc additionné de noir de carbone ou de silice ainsi que des mélanges de caoutchouc naturel, de balata, de gutta-percha, de guayule, de chicle ou de gommes natur</t>
  </si>
  <si>
    <t>=t("   Caoutchouc mélangé, non vulcanisé, en plaques, feuilles ou bandes (à l'excl. du caoutchouc additionné de noir de carbone ou de silice ainsi que des mélanges de caoutchouc naturel, de balata, de gutta-percha, de guayule, de chicle ou de gommes natur</t>
  </si>
  <si>
    <t xml:space="preserve">=t("   Caoutchouc mélangé, non vulcanisé, sous formes primaires (à l'excl. des solutions, des dispersions, des produits en plaques, feuilles ou bandes, du caoutchouc additionné de noir de carbone ou de silice ainsi que des mélanges de caoutchouc naturel, </t>
  </si>
  <si>
    <t>=t("   Baguettes, tubes, profilés et formes simil., disques, rondelles et articles simil., en caoutchouc non vulcanisé, même mélangé (à l'excl. des profilés pour le rechapage ainsi que des plaques, feuilles ou bandes qui n'ont pas subi d'autres ouvraisons</t>
  </si>
  <si>
    <t>=t("   Fils et cordes de caoutchouc vulcanisé (à l'excl. des fils nus simples dont la plus grande dimension de la coupe transversale excède 5 mm ainsi que des matières textiles associées à des fils de caoutchouc [p.ex. fils et cordes de caoutchouc recouve</t>
  </si>
  <si>
    <t>=t("   TUBES ET TUYAUX EN CAOUTCHOUC VULCANISÉ NON DURCI, RENFORCÉS À L'AIDE D'AUTRES MATIÈRES QUE LE MÉTAL OU LES MATIÈRES TEXTILES OU AUTREMENT ASSOCIÉS À D'AUTRES MATIÈRES QUE LE MÉTAL OU LES MATIÈRES TEXTILES, AVEC ACCESSOIRES [JOINTS, COUDES, RACCORD</t>
  </si>
  <si>
    <t>=t("   COURROIES DE TRANSMISSION, EN CAOUTCHOUC VULCANISÉ (À L'EXCL. DE COURROIES DE TRANSMISSION SANS FIN DE SECTION TRAPÉZOÏDALE, STRIÉES, D'UNE CIRCONFÉRENCE EXTÉRIEURE &gt; 60 CM MAIS &lt;= 240 CM ET DES COURROIES DE TRANSMISSION SANS FIN, CRANTÉES 'SYNCHRO</t>
  </si>
  <si>
    <t>=t("   Pneumatiques neufs, en caoutchouc (à l'excl. des pneumatiques à crampons, à chevrons ou simil. ainsi que des pneumatiques des types utilisés pour les véhicules et engins agricoles et forestiers, de génie civil et de manutention industrielle, pour l</t>
  </si>
  <si>
    <t xml:space="preserve">=t("   Revêtements de sol et tapis de pied, en caoutchouc vulcanisé non durci, à bords biseautés ou moulurés, à coins arrondis, à bordures ajourées ou autrement travaillés (à l'excl. des ouvrages en caoutchouc alvéolaire ainsi que des ouvrages simplement </t>
  </si>
  <si>
    <t>=t("   Matelas pneumatiques, oreillers gonflables, coussins gonflables et autres articles gonflables, en caoutchouc vulcanisé non durci (à l'excl. des canots, radeaux et autres engins flottants, des pare-chocs pour l'accostage des bateaux ainsi que des ar</t>
  </si>
  <si>
    <t>=t("   Peaux brutes, lainées, d'ovins, fraîches, ou salées, séchées, chaulées, picklées ou autrement conservées (à l'excl. des peaux d'agneaux dits 'astrakan', 'breitschwanz', 'caracul', 'persianer' ou simil. ainsi que d'agneaux des Indes, de Chine, de Mo</t>
  </si>
  <si>
    <t>=t("   CUIRS ET PEAUX [Y.C. CUIRS ET PEAUX PARCHEMINÉS] DE PARTIES ET AUTRES PIÈCES DE CUIRS ET PEAUX DE BOVINS [Y. C. LES BUFFLES] OU D'ÉQUIDÉS, PRÉPARÉS APRÈS TANNAGE OU APRÈS DESSÈCHEMENT, ÉPILÉS (À L'EXCL. DES CUIRS ET PEAUX PLEINE FLEUR NON-REFENDUE,</t>
  </si>
  <si>
    <t>=t("   Articles de sellerie ou de bourrellerie pour tous animaux, y.c. les traits, laisses, genouillères, muselières, tapis de selles, fontes, manteaux pour chiens et articles simil., en toutes matières (à l'excl. des harnais pour enfants ou adultes ainsi</t>
  </si>
  <si>
    <t>=t("   Malles, valises et mallettes, y.c. les mallettes de toilette et mallettes porte-documents, serviettes, cartables et contenants simil. (à l'excl. des articles à surface extérieure en cuir naturel, reconstitué ou verni, en matières plastiques ou en m</t>
  </si>
  <si>
    <t xml:space="preserve">=t("   Portefeuilles, porte-monnaie, étuis à clés ou à cigarettes, blagues à tabac et articles simil. de poche ou de sac à main, à surface extérieure en fibre vulcanisée ou en carton, ou recouverts, en totalité ou en majeure partie, de ces mêmes matières </t>
  </si>
  <si>
    <t>=t("   Sacs de voyage, sacs isolants pour produits alimentaires et boissons, trousses de toilette, sacs à dos, sacs à provisions, porte-cartes, trousses à outils, sacs pour articles de sport, boîtes pour bijoux, écrins pour orfèvrerie et étuis pour jumell</t>
  </si>
  <si>
    <t>=t("   Sacs de voyage, trousses de toilette, sacs à dos, sacs à provisions, porte-cartes, trousses à outils, sacs pour articles de sport, boîtes pour bijoux, écrins pour orfèvrerie et étuis pour jumelles, appareils photographiques, caméras, instruments de</t>
  </si>
  <si>
    <t>=t("   Accessoires du vêtement, en cuir naturel ou reconstitué (à l'excl. des gants, des mitaines, des moufles, des ceintures, des ceinturons, des baudriers, des chaussures, des coiffures, des parties de chaussures ou de coiffures ainsi que des articles d</t>
  </si>
  <si>
    <t>=t("   Ouvrages en cuir naturel ou reconstitué (sauf meubles; appareils d'éclairage; articles de bijouterie fantaisie; boutons et leurs parties; boutons de manchette; jouets, jeux et engins sportifs; fouets, cravaches et articles simil.; articles de selle</t>
  </si>
  <si>
    <t>=t("   Bois bruts, traités avec une peinture, de la créosote ou d'autres agents de conservation (à l'excl. des bois simplement dégrossis ou arrondis pour cannes, parapluies, manches d'outils ou simil., des traverses en bois pour voies ferrées ou simil. ai</t>
  </si>
  <si>
    <t>=t("   Bois tropicaux visés à la note 1 de sous-position du présent chapitre, sciés ou dédossés longitudinalement, tranchés ou déroulés, même rabotés, poncés ou collés par assemblage en bout, d'une épaisseur &gt; 6 mm (sauf virola, mahogany 'Swietenia spp.',</t>
  </si>
  <si>
    <t>=t("   Bois sciés ou dédossés longitudinalement, tranchés ou déroulés, d'une épaisseur &gt; 6 mm, même rabotés, poncés ou collés par assemblage en bout (à l'excl. des bois tropicaux visés à la note 1 de sous-position du présent chapitre ainsi que des bois de</t>
  </si>
  <si>
    <t>=t("   FEUILLES POUR PLACAGE - Y.C. CELLES OBTENUES PAR TRANCHAGE DE BOIS STRATIFIÉ -,  FEUILLES POUR CONTRE-PLAQUÉS OU POUR AUTRES BOIS STRATIFIÉS SIMIL. ET AUTRES BOIS SCIÉS LONGITUDINALEMENT, TRANCHÉS OU DÉROULÉS, MÊME RABOTÉS, PONCÉS, ASSEMBLÉS BORD À</t>
  </si>
  <si>
    <t>=t("   PANNEAUX DE FIBRES DE BOIS OU AUTRES MATIÈRES LIGNEUSES, MÊME AGGLOMÉRÉES AVEC DES LIANTS ORGANIQUES, D'UNE MASSE VOLUMIQUE &gt; 0,8 G/CM³, NON-OUVRÉS MÉCANIQUEMENT NI RECOUVERTS EN SURFACE (SAUF CARTON, PANNEAUX DE PARTICULES, MÊME STRATIFIÉS, BOIS S</t>
  </si>
  <si>
    <t>=t("   Panneaux de fibres de bois ou autres matières ligneuses, même agglomérées avec des liants organiques, d'une masse volumique &gt; 0,8 g/cm³, ouvrés mécaniquement ou recouverts en surface (sauf carton, panneaux simpl. poncés ou de particules, même strat</t>
  </si>
  <si>
    <t>=t("   Panneaux de fibres de bois ou autres matières ligneuses, même agglomérées avec des liants organiques, d'une masse volumique &gt; 0,5 g/cm³ mais &lt;= 0,8 g/cm³, ouvrés mécaniquement ou recouverts en surface (sauf carton, panneaux simpl. poncés ou de part</t>
  </si>
  <si>
    <t>=t("   Panneaux de fibres de bois ou autres matières ligneuses, même agglomérées avec des liants organiques, d'une masse volumique &lt;= 0,35 g/cm³, ouvrés mécaniquement ou recouverts en surface (sauf carton, panneaux simplement poncés ou de particules, même</t>
  </si>
  <si>
    <t>=t("   BOIS CONTRE-PLAQUÉS CONSTITUES EXCLUSIVEMENT DE FEUILLES DE BOIS DONT CHACUNE A UNE ÉPAISSEUR =&lt; 6 MM, AYANT AU MOINS UN PLI EXTERIEUR EN BOIS TROPICAUX ENUMERES CI-APRES : DARK RED OU LIGHT RED MERANTI, WHITE LAUAN, SIPO, LIMBA, OKOUME, OBECHE, AC</t>
  </si>
  <si>
    <t>=t("   Bois contre-plaqués constitués exclusivement de feuilles de bois dont chacune a une épaisseur &lt;= 6 mm, ayant au moins un pli extérieur en bois tropicaux visés à la note 1 de sous-position du présent chapitre (à l'excl. des panneaux en bois dits 'de</t>
  </si>
  <si>
    <t>=t("   Bois contre-plaqués constitués exclusivement de feuilles de bois dont chacune a une épaisseur &lt;= 6 mm (à l'excl. des bois contre-plaqués du n° 4412.13 et 4412.14, des panneaux en bois dits 'densifiés', des panneaux cellulaires en bois, des bois mar</t>
  </si>
  <si>
    <t>=t("   Bois plaqués et bois stratifiés simil., ayant au moins un pli extérieur en bois autres que de conifères et autres que de bois tropicaux visés à la note 1 de sous-position du présent chapitre et contenant au moins un panneau de particules (à l'excl.</t>
  </si>
  <si>
    <t>=t("   Bois plaqués et bois stratifiés simil., ayant au moins un pli extérieur en bois autres que de conifères et autres que de bois tropicaux visés à la note 1 de sous-position du présent chapitre, ne contenant pas de panneaux de particules (à l'excl. de</t>
  </si>
  <si>
    <t xml:space="preserve">=t("   BOIS PLAQUÉS ET BOIS STRATIFIÉS SIMIL., SANS ÂME PANNEAUTÉE, LATTÉE OU LAMELLÉE (À L'EXCL. DE BAMBOO, DES BOIS CONTRE-PLAQUÉS CONSTITUÉS EXCLUSIVEMENT DE FEUILLES DE BOIS DONT CHACUNE A UNE ÉPAISSEUR &lt;= 6 MM, DES PANNEAUX EN BOIS DITS 'DENSIFIÉS', </t>
  </si>
  <si>
    <t>=t("   Outils, montures et manches d'outils, montures de brosses, manches de balais ou de brosses, en bois; formes, embauchoirs et tendeurs pour chaussures, en bois (à l'excl. des moules du n° 8480, des formes de chapellerie ainsi que des machines et part</t>
  </si>
  <si>
    <t>=t("   OUVRAGES DE MENUISERIE ET PIÈCES DE CHARPENTE POUR CONSTRUCTION, Y.C. LES PANNEAUX CELLULAIRES (À L'EXCL. DES FENÊTRES, PORTES-FENÊTRES ET LEURS CADRES ET CHAMBRANLES, DES PORTES ET LEURS CADRES, CHAMBRANLES ET SEUILS, DES POTEAUX ET POUTRES, DES P</t>
  </si>
  <si>
    <t>=t("   Articles en bois pour la table ou la cuisine (à l'excl. des articles d'ameublement, des objets d'ornement, des ouvrages de tonnellerie, des parties d'articles en bois pour la table ou la cuisine, des balais, des brosses ainsi que des tamis et cribl</t>
  </si>
  <si>
    <t>=t("   Bois marquetés et bois incrustés; coffrets, écrins et étuis pour bijouterie ou orfèvrerie et ouvrages simil., en bois; articles d'ameublement en bois (à l'excl. des statuettes et autres objets d'ornement, des meubles, des appareils d'éclairage ains</t>
  </si>
  <si>
    <t>=t("   Ouvrages de vannerie obtenus directement en forme à partir de matières à tresser végétales ou confectionnés à l'aide des matières à tresser végétales du n° 4601; ouvrages en luffa (sauf revêtements muraux du n° 4814, ficelles, cordes et cordages, c</t>
  </si>
  <si>
    <t xml:space="preserve">=t("   Ouvrages de vannerie obtenus directement en forme à partir de matières à tresser non végétales ou confectionnés à l'aide de matières à tresser non végétales du n° 4601 (à l'excl. des revêtements muraux du n° 4814, des ficelles, cordes et cordages, </t>
  </si>
  <si>
    <t>=t("   PAPIERS OU CARTONS À RECYCLER [DÉCHETS ET REBUTS], Y.C. LES DÉCHETS ET REBUTS NON-TRIÉS (À L'EXCL. DE LA LAINE DE PAPIER, DES DÉCHETS ET REBUTS DE PAPIERS OU CARTONS KRAFT ÉCRUS OU DE PAPIERS OU CARTONS ONDULÉS AINSI QUE DES PRODUITS NON-COLORÉS DA</t>
  </si>
  <si>
    <t>=t("   Papiers et cartons, non couchés ni enduits, utilisés pour l'écriture, l'impression ou d'autres fins graphiques, et papiers et cartons pour cartes ou bandes à perforer, non perforés, en rouleaux ou en feuilles de forme carrée ou rectangulaire, de to</t>
  </si>
  <si>
    <t>=t("   PAPIERS ET CARTONS, NON-COUCHÉS NI ENDUITS, UTILISÉS POUR L'ÉCRITURE, L'IMPRESSION OU D'AUTRES FINS GRAPHIQUES, ET PAPIERS ET CARTONS POUR CARTES OU BANDES À PERFORER, NON-PERFORÉS, EN ROULEAUX DE TOUT FORMAT, SANS FIBRES OBTENUES PAR UN PROCÉDÉ MÉ</t>
  </si>
  <si>
    <t>=t("   PAPIERS ET CARTONS, NON-COUCHÉS NI ENDUITS, UTILISÉS POUR L'ÉCRITURE, L'IMPRESSION OU D'AUTRES FINS GRAPHIQUES, ET PAPIERS ET CARTONS POUR CARTES OU BANDES À PERFORER, NON-PERFORÉS, EN FEUILLES DE FORME CARRÉE OU RECTANGULAIRE DONT UN CÔTÉ &lt;= 435 M</t>
  </si>
  <si>
    <t>=t("   Papiers et cartons, non couchés ni enduits, utilisés pour l'écriture, l'impression ou d'autres fins graphiques, et papiers et cartons pour cartes ou bandes à perforer, non perforés, en feuilles de forme carrée ou rectangulaire dont un coté &gt; 435 mm</t>
  </si>
  <si>
    <t>=t("   PAPIERS ET CARTONS, NON-COUCHÉS NI ENDUITS, UTILISÉS POUR L'ÉCRITURE, L'IMPRESSION OU D'AUTRES FINS GRAPHIQUES, ET PAPIERS ET CARTONS POUR CARTES OU BANDES À PERFORER, NON-PERFORÉS, EN ROULEAUX OU EN FEUILLES DE FORME CARRÉE OU RECTANGULAIRE, DE TO</t>
  </si>
  <si>
    <t xml:space="preserve">=t("   PAPIERS ET CARTONS, NON-COUCHÉS NI ENDUITS, UTILISÉS POUR L'ÉCRITURE, L'IMPRESSION OU D'AUTRES FINS GRAPHIQUES, ET PAPIERS ET CARTONS POUR CARTES OU BANDES À PERFORER, NON-PERFORÉS, EN ROULEAUX DE TOUT FORMAT, DONT &gt; 10% EN POIDS DE LA COMPOSITION </t>
  </si>
  <si>
    <t>=t("   Papiers utilisés pour papiers de toilette, serviettes à démaquiller, essuie-mains, serviettes ou papiers simil. à usages domestiques, d'hygiène ou de toilette, ouate de cellulose et nappes de fibres de cellulose, même crêpés, plissés, gaufrés, esta</t>
  </si>
  <si>
    <t>=t("   PAPIERS ET CARTONS KRAFT, ÉCRUS, NON-COUCHÉS NI ENDUITS, EN ROULEAUX D'UNE LARGEUR &gt; 36 CM OU EN FEUILLES DE FORME CARRÉE OU RECTANGULAIRE DONT AU MOINS UN CÔTÉ &gt; 36 CM ET L'AUTRE &gt; 15 CM À L'ÉTAT NON-PLIÉ, D'UN POIDS &lt;= 150 G/M² (À L'EXCL. DES PAP</t>
  </si>
  <si>
    <t>=t("   PAPIERS ET CARTONS KRAFT, NON-COUCHÉS NI ENDUITS, EN ROULEAUX D'UNE LARGEUR &gt; 36 CM OU EN FEUILLES DE FORME CARRÉE OU RECTANGULAIRE DONT AU MOINS UN CÔTÉ &gt; 36 CM ET L'AUTRE &gt; 15 CM À L'ÉTAT NON-PLIÉ, D'UN POIDS &lt;= 150 G/M² (À L'EXCL. DES PRODUITS É</t>
  </si>
  <si>
    <t>=t("   PAPIERS ET CARTONS KRAFT, NON-COUCHÉS NI ENDUITS, EN ROULEAUX D'UNE LARGEUR &gt; 36 CM OU EN FEUILLES DE FORME CARRÉE OU RECTANGULAIRE DONT AU MOINS UN CÔTÉ &gt; 36 CM ET L'AUTRE &gt; 15 CM À L'ÉTAT NON-PLIÉ, D'UN POIDS &gt;= 225 G/M² (SAUF PRODUITS 'KRAFTLINE</t>
  </si>
  <si>
    <t>=t("   PAPIER POUR CANNELURE, NON-COUCHÉS NI ENDUITS, EN ROULEAUX D'UNE LARGEUR &gt; 36 CM OU EN FEUILLES DE FORME CARRÉE OU RECTANGULAIRE DONT AU MOINS UN CÔTÉ &gt; 36 CM ET L'AUTRE &gt; 15 CM À L'ÉTAT NON-PLIÉ (À L'EXCL. DU PAPIER MI-CHIMIQUE POUR CANNELURE ET D</t>
  </si>
  <si>
    <t>=t("   PAPIER DIT 'CRISTAL' ET AUTRES PAPIERS CALANDRÉS TRANSPARENTS OU TRANSLUCIDES, EN ROULEAUX D'UNE LARGEUR &gt; 36 CM OU EN FEUILLES DE FORME CARRÉE OU RECTANGULAIRE DONT AU MOINS UN CÔTÉ &gt; 36 CM ET L'AUTRE &gt; 15 CM À L'ÉTAT NON-PLIÉ (À L'EXCL. DES PAPIE</t>
  </si>
  <si>
    <t>=t("   PAPIERS ET CARTONS ASSEMBLÉS À PLAT PAR COLLAGE, NON-COUCHÉS NI ENDUITS À LA SURFACE NI IMPRÉGNÉS, MÊME RENFORCÉS INTÉRIEUREMENT, EN ROULEAUX D'UNE LARGEUR &gt; 36 CM OU EN FEUILLES DE FORME CARRÉE OU RECTANGULAIRE DONT AU MOINS UN CÔTÉ &gt; 36 CM ET L'A</t>
  </si>
  <si>
    <t xml:space="preserve">=t("   Papiers kraft, crêpés ou plissés, même gaufrés, estampés ou perforés, en rouleaux d'une largeur &gt; 36 cm ou en feuilles de forme carrée ou rectangulaire dont au moins un coté &gt; 36 cm et l'autre &gt; 15 cm à l'état non plié (à l'excl. des papiers kraft </t>
  </si>
  <si>
    <t>=t("   Papiers et cartons crêpés, plissés, gaufrés, estampés ou perforés, en rouleaux d'une largeur &gt; 36 cm ou en feuilles de forme carrée ou rectangulaire dont au moins un coté &gt; 36 cm et l'autre &gt; 15 cm à l'état non plié (à l'excl. des articles du n° 48</t>
  </si>
  <si>
    <t>=t("   Papiers pour duplication ou reports - y.c. les papiers couchés, enduits ou imprégnés pour stencils ou pour plaques offset -, même imprimés, en rouleaux d'une largeur &gt; 36 cm ou en feuilles de forme carrée ou rectangulaire dont un côté au moins &gt; 36</t>
  </si>
  <si>
    <t>=t("   Papiers et cartons, des types utilisés pour écriture, impression ou autres fins graphiques, sans fibres obtenues par un procédé mécanique ou chimico-mécanique ou dont &lt;= 10% en poids de la composition fibreuse totale sont constitués par de telles f</t>
  </si>
  <si>
    <t>=t("   Papiers et cartons, des types utilisés pour écriture, impression ou autres fins graphiques, dont &gt; 10% en poids de la composition fibreuse totale sont constitués par des fibres obtenues par un procédé mécanique ou chimico-mécanique,  couché au kaol</t>
  </si>
  <si>
    <t>=t("   Papiers et cartons kraft, couchés au kaolin ou à d'autres substances inorganiques sur une ou sur les deux faces, blanchis uniformément dans la masse et dont &gt; 95% en poids de la composition fibreuse totale sont constitués par des fibres de bois obt</t>
  </si>
  <si>
    <t>=t("   Papiers et cartons multicouches, couchés au kaolin ou à d'autres substances inorganiques sur une ou sur les deux faces, en rouleaux ou en feuilles de forme carrée ou rectangulaire, de tout format (à l'excl. des papiers et cartons kraft ainsi que de</t>
  </si>
  <si>
    <t>=t("   Papiers et cartons couchés au kaolin ou à d'autres substances inorganiques sur une ou sur les deux faces, avec ou sans liants, même coloriés en surface, décorés en surface ou imprimés, en rouleaux ou en feuilles de forme carrée ou rectangulaire, de</t>
  </si>
  <si>
    <t>=t("   Papiers et cartons, coloriés en surface, décorés en surface ou imprimés, enduits, imprégnés ou recouverts de matière plastique, en rouleaux ou en feuilles de forme carrée ou rectangulaire, de tout format (à l'excl. des adhésifs ainsi que des papier</t>
  </si>
  <si>
    <t>=t("   Papiers, cartons, ouate de cellulose et nappes de fibres de cellulose, couchés, enduits, imprégnés, recouverts, coloriés en surface, décorés en surface ou imprimés, en rouleaux ou en feuilles de forme carrée ou rectangulaire, de tout format (à l'ex</t>
  </si>
  <si>
    <t>=t("   PAPIERS PEINTS ET REVÊTEMENTS MURAUX SIMIL. EN PAPIER ET VITRAUPHANIES EN PAPIER (À L'EXCL. DU PAPIER DIT 'INGRAIN' AINSI QUE DES REVÊTEMENTS MURAUX CONSTITUÉS PAR DU PAPIER ENDUIT OU RECOUVERT, SUR L'ENDROIT, D'UNE COUCHE DE MATIÈRE PLASTIQUE GRAI</t>
  </si>
  <si>
    <t>=t("   Papiers dits 'autocopiants', présentés en rouleaux d'une largeur &lt;= 36 cm ou en feuilles carrées ou rectangulaires dont aucun côté &gt; 36 cm à l'état non plié, ou découpés de forme autre que carrée ou rectangulaire, même conditionnés en boîtes (à l'e</t>
  </si>
  <si>
    <t>=t("   Papiers pour duplication ou reports - présentés en rouleaux d'une largeur &lt;= 36 cm ou en feuilles carrées ou rectangulaires dont aucun côté &gt; 36 cm à l'état non plié, ou découpés de forme autre que carrée ou rectangulaire -, et plaques offset, en p</t>
  </si>
  <si>
    <t>=t("   Vêtements et accessoires du vêtement, en pâte à papier, papier, ouate de cellulose ou nappes de fibres de cellulose (à l'excl. des guêtres et articles simil., des coiffures et leurs parties ainsi que des chaussures et leurs parties, y.c. les semell</t>
  </si>
  <si>
    <t>=t("   Papiers des types utilisés pour papiers de toilette et pour papiers simil., ouate de cellulose ou nappes de fibres de cellulose, des types utilisés à des fins domestiques ou sanitaires, en rouleaux d'une largeur &lt;= 36 cm, ou coupés à format; articl</t>
  </si>
  <si>
    <t>=t("   Emballages, y.c. les pochettes pour disques, en papier, carton, ouate de cellulose ou nappes de fibres de cellulose (à l'excl. des boîtes et caisses en papier ou en carton ondulé, des boîtes et cartonnages, pliants, en papier ou en carton non ondul</t>
  </si>
  <si>
    <t>=t("   Sous-main et autres articles scolaires, de bureau ou de papeterie, en papier ou en carton, et couvertures pour livres, en papier ou en carton (sauf registres, livres comptables, carnets de notes, de commandes ou de quittances, blocs-memorandums, bl</t>
  </si>
  <si>
    <t xml:space="preserve">=t("   PAPIERS, CARTONS, OUATE DE CELLULOSE ET NAPPES DE FIBRES DE CELLULOSE, EN BANDES OU EN ROULEAUX D'UNE LARGEUR &lt;= 36 CM OU EN FEUILLES DE FORME CARRÉE OU RECTANGULAIRE DONT AUCUN CÔTÉ &gt; 36 CM À L'ÉTAT NON-PLIÉ, OU DÉCOUPÉS DE FORME AUTRE QUE CARRÉE </t>
  </si>
  <si>
    <t>=t("   Plans et dessins d'architectes, d'ingénieurs et autres plans et dessins industriels, commerciaux, topographiques ou simil., obtenus en original à la main; textes écrits à la main; reproductions photographiques sur papier sensibilisé et copies obten</t>
  </si>
  <si>
    <t>=t("   TIMBRES-POSTE, TIMBRES FISCAUX ET ANALOGUES, NON-OBLITÉRÉS, AYANT COURS OU DESTINÉS À AVOIR COURS DANS LE PAYS DANS LEQUEL ILS ONT,  OU AURONT, UNE VALEUR FACIALE RECONNUE; PAPIER TIMBRÉ; BILLETS DE BANQUE; CHÈQUES; TITRES D'ACTIONS OU D'OBLIGATION</t>
  </si>
  <si>
    <t>=t("   Tissus de laine cardée ou de poils fins cardés, contenant en prédominance, mais &lt; 85% en poids de laine ou de poils fins (à l'excl. des tissus de laine ou de poils fins mélangés principalement ou uniquement avec des filaments synthétiques ou artifi</t>
  </si>
  <si>
    <t>=t("   Tissus de laine peignée ou de poils fins peignés, contenant en prédominance, mais &lt; 85% en poids de laine ou de poils fins (à l'excl. des tissus de laine ou de poils fins mélangés principalement ou uniquement avec des filaments synthétiques ou arti</t>
  </si>
  <si>
    <t>=t("   Tissus de coton, imprimés, contenant en prédominance, mais &lt; 85% en poids de coton, mélangés principalement ou uniquement avec des fibres synthétiques ou artificielles, d'un poids &lt;= 200 g/m² (à l'excl. des tissus à armure toile ou à armure sergé [</t>
  </si>
  <si>
    <t>=t("   Tissus de coton, blanchis, contenant en prédominance, mais &lt; 85% en poids de coton, mélangés principalement ou uniquement avec des fibres synthétiques ou artificielles, d'un poids &gt; 200 g/m² (à l'excl. des tissus à armure toile ou à armure sergé [y</t>
  </si>
  <si>
    <t>=t("   Tissus de coton, imprimés, contenant en prédominance, mais &lt; 85% en poids de coton, mélangés principalement ou uniquement avec des fibres synthétiques ou artificielles, d'un poids &gt; 200 g/m² (à l'excl. des tissus à armure toile ou à armure sergé [y</t>
  </si>
  <si>
    <t>=t("   Tissus obtenus à partir de fils de diverses couleurs contenant &gt;= 85% en poids de filaments synthétiques, y.c. les tissus obtenus à partir des monofilaments du n° 5404 (à l'excl. des tissus obtenus à partir de filaments ou de monofilaments de polye</t>
  </si>
  <si>
    <t>=t("   Tissus obtenus à partir de fils de filaments synthétiques de diverses couleurs contenant en prédominance, mais &lt; 85% en poids de ces filaments et mélangés principalement ou uniquement avec du coton, y.c. les tissus obtenus à partir des monofilament</t>
  </si>
  <si>
    <t>=t("   Tissus imprimés, obtenus à partir de fils de filaments synthétiques contenant en prédominance, mais &lt; 85% en poids de ces filaments, y.c. les tissus obtenus à partir des monofilaments du n° 5404 (à l'excl. des tissus mélangés principalement ou uniq</t>
  </si>
  <si>
    <t>=t("   Fils de fibres discontinues de polyester, contenant en prédominance, mais &lt; 85% en poids de ces fibres, non conditionnés pour la vente au détail (à l'excl. des fils à coudre et des fils mélangés principalement ou uniquement avec du coton, de la lai</t>
  </si>
  <si>
    <t>=t("   Tissus, écrus ou blanchis, de fibres discontinues de polyester, contenant en prédominance, mais &lt; 85% en poids de ces fibres, mélangés principalement ou uniquement avec du coton, d'un poids &lt;= 170 g/m² (à l'excl. des tissus à armure toile ou à armu</t>
  </si>
  <si>
    <t>=t("   Tissus, écrus ou blanchis, de fibres synthétiques discontinues, contenant en prédominance, mais &lt; 85% en poids de ces fibres, mélangés principalement ou uniquement avec du coton, d'un poids &lt;= 170 g/m² (à l'excl. des tissus de fibres discontinues d</t>
  </si>
  <si>
    <t>=t("   Tissus en fils de diverses couleurs, en fibres synthétiques discontinues, contenant en prédominance, mais &lt; 85% en poids de ces fibres, mélangés principalement ou uniquement avec du coton, d'un poids &lt;= 170 g/m² (à l'excl. des tissus de fibres disc</t>
  </si>
  <si>
    <t>=t("   Tissus, écrus ou blanchis, de fibres synthétiques discontinues, contenant en prédominance, mais &lt; 85% en poids de ces fibres, mélangés principalement ou uniquement avec du coton, d'un poids &gt; 170 g/m² (à l'excl. des tissus de fibres discontinues de</t>
  </si>
  <si>
    <t>=t("   Tissus en fils de diverses couleurs, en fibres synthétiques discontinues, contenant en prédominance, mais &lt; 85% en poids de ces fibres, mélangés principalement ou uniquement avec du coton, d'un poids &gt; 170 g/m² (à l'excl. des tissus de fibres disco</t>
  </si>
  <si>
    <t>=t("   Tissus, imprimés, de fibres discontinues de polyester, contenant en prédominance, mais &lt; 85% en poids de ces fibres, mélangés principalement ou uniquement avec du coton, d'un poids &gt; 170 g/m² (à l'excl. des tissus à armure toile ou à armure sergé [</t>
  </si>
  <si>
    <t xml:space="preserve">=t("   Tissus de fibres discontinues de polyester, contenant en prédominance, mais &lt; 85% en poids de ces fibres (à l'excl. des tissus mélangés principalement ou uniquement avec de la laine ou des poils fins, des filaments synthétiques ou artificiels, des </t>
  </si>
  <si>
    <t>=t("   Tissus de fibres discontinues acryliques ou modacryliques, contenant en prédominance, mais &lt; 85% en poids de ces fibres (à l'excl. des tissus mélangés principalement ou uniquement avec de la laine ou des poils fins, des filaments synthétiques ou ar</t>
  </si>
  <si>
    <t>=t("   Tissus de fibres synthétiques discontinues, contenant en prédominance, mais &lt; 85% en poids de ces fibres, mélangés principalement ou uniquement avec des filaments synthétiques ou artificiels (à l'excl. des tissus de fibres discontinues acryliques o</t>
  </si>
  <si>
    <t>=t("   Tissus de fibres synthétiques discontinues, contenant en prédominance, mais &lt; 85% en poids de ces fibres, mélangés principalement ou uniquement avec de la laine ou des poils fins (à l'excl. des tissus de fibres discontinues acryliques ou modacryliq</t>
  </si>
  <si>
    <t>=t("   Tissus de fibres synthétiques discontinues, contenant en prédominance, mais &lt; 85% en poids de ces fibres (à l'excl. des tissus de fibres discontinues acryliques ou modacryliques ou de fibres discontinues de polyester ainsi que des tissus mélangés p</t>
  </si>
  <si>
    <t xml:space="preserve">=t("   Ouates de coton et articles en ces ouates (sauf serviettes et tampons hygiéniques, couches pour bébés et articles hygiéniques simil., produits imprégnés ou recouverts de substances pharmaceutiques ou conditionnés pour la vente au détail à des fins </t>
  </si>
  <si>
    <t>=t("   Ouates de matières textiles et artificielles en ces ouates (sauf produits en coton ou fibres synthétiques ou artificielles; serviettes et tampons hygiéniques; couches pour bébés et articles hygiéniques simil.; produits imprégnés ou recouverts de su</t>
  </si>
  <si>
    <t xml:space="preserve">=t("   Filés métalliques et fils métallisés, même guipés, constitués par des fils textiles, des lames ou formes simil. du n° 5404 ou 5405, combinés avec du métal sous forme de fils, de lames ou de poudres, ou recouverts de métal (sauf fils textiles armés </t>
  </si>
  <si>
    <t xml:space="preserve">=t("   Filets à mailles nouées, en nappes ou en pièces, obtenus à partir de ficelles, cordes ou cordages; filets confectionnés, en matières textiles synthétiques ou artificielles (à l'excl. des filets confectionnés pour la pêche, des résilles et filets à </t>
  </si>
  <si>
    <t>=t("   Filets à mailles nouées, en nappes ou en pièces, obtenus à partir de ficelles, cordes ou cordages; filets confectionnés pour la pêche et autres filets confectionnés, en matières textiles végétales (à l'excl. des filets et résilles à cheveux ainsi q</t>
  </si>
  <si>
    <t>=t("   Tapis et autres revêtements de sol, de matières textiles végétales ou de poils grossiers, tissés, non touffetés ni floqués, à velours, non confectionnés (à l'excl. des revêtements de sol en coco et des tapis dits 'kelim', 'kilim', 'schumacks', 'sou</t>
  </si>
  <si>
    <t>=t("   Tapis et autres revêtements de sol, de matières textiles végétales ou de poils grossiers, tissés, non touffetés ni floqués, à velours, confectionnés (à l'excl. des revêtements de sol en coco ainsi que des tapis dits 'kelim', 'kilim', 'schumacks', '</t>
  </si>
  <si>
    <t>=t("   Tapis et autres revêtements de sol, de matières textiles végétales ou de poils grossiers, tissés, non touffetés ni floqués, sans velours, confectionnés (à l'excl. des revêtements de sol en coco ainsi que des tapis dits 'kelim', 'kilim', 'schumacks'</t>
  </si>
  <si>
    <t>=t("   Tapisseries tissées à la main [genre Gobelins, Flandres, Aubusson, Beauvais et simil.] et tapisseries à l'aiguille [au petit point, au point de croix, par exemple], même confectionnées (à l'excl. des tapisseries ayant plus de 100 ans d'âge ainsi qu</t>
  </si>
  <si>
    <t>=t("   Articles de passementerie et articles ornementaux analogues en matières textiles, en pièces, sans broderie, et glands, floches, olives, noix, pompons et articles simil. en matières textiles (à l'excl. des tresses en pièces ainsi que des articles de</t>
  </si>
  <si>
    <t>=t("   PRODUITS TEXTILES MATELASSÉS EN PIÈCES, CONSTITUÉS D'UNE OU PLUSIEURS COUCHES DE MATIÈRES TEXTILES ASSOCIÉES À UNE MATIÈRE DE REMBOURRAGE PAR PIQ¹RE, CAPITONNAGE OU AUTRE CLOISONNEMENT (À L'EXCL. DES BRODERIES DU N° 5810 AINSI QUE DES ARTICLES DE L</t>
  </si>
  <si>
    <t xml:space="preserve">=t("   Tissus imprégnés, enduits ou recouverts de poly[chlorure de vinyle] ou stratifiés avec du poly[chlorure de vinyle] (à l'excl. des tissus imprégnés ou enduits de poly[chlorure de vinyle] ayant le caractère de revêtements muraux ainsi que des tissus </t>
  </si>
  <si>
    <t>=t("   Tissus imprégnés, enduits ou recouverts de matières plastiques autres que poly[chlorure de vinyle] ou polyuréthanne ou stratifiés avec des matières plastiques autres que poly[chlorure de vinyle] ou polyuréthanne (sauf nappes tramées pour pneumatiqu</t>
  </si>
  <si>
    <t>=t("   Tissus caoutchoutés (à l'excl. des tissus de bonneterie, des rubans adhésifs d'une largeur &lt;= 20 cm et des nappes tramées pour pneumatiques obtenues à partir de fils à haute ténacité de nylon ou d'autres polyamides, de polyesters ou de rayonnne vis</t>
  </si>
  <si>
    <t>=t("   Mèches tissées, tressées ou tricotées, en matières textiles, pour lampes, réchauds, briquets, bougies ou simil.; manchons à incandescence et étoffes tubulaires tricotées servant à leur fabrication, même imprégnés (à l'excl. des mèches recouvertes d</t>
  </si>
  <si>
    <t>=t("   Courroies transporteuses ou de transmission en matières textiles, même imprégnées, enduites, recouvertes de matière plastique ou stratifiées avec de la matière plastique ou renforcées de métal ou d'autres matières (sauf produits d'une épaisseur &lt; 3</t>
  </si>
  <si>
    <t xml:space="preserve">=t("   TISSUS, FEUTRES ET TISSUS DOUBLÉS DE FEUTRE, COMBINÉS AVEC UNE OU PLUSIEURS COUCHES DE CAOUTCHOUC, DE CUIR OU D'AUTRES MATIÈRES, DES TYPES UTILISÉS POUR LA FABRICATION DE GARNITURES DE CARDÉS, ET PRODUITS ANALOGUES POUR D'AUTRES USAGES TECHNIQUES, </t>
  </si>
  <si>
    <t xml:space="preserve">=t("   ETOFFES DE BONNETERIE D'UNE LARGEUR &lt;= 30 CM, TENEUR EN FILS D'ÉLASTOMÈRES &gt;= 5% EN POIDS (SANS FILS DE CAOUTCHOUC ET À L'EXCL. DES VELOURS, PELUCHES, Y.C. LES ÉTOFFES DITES 'À LONGS POILS', ÉTOFFES À BOUCLES EN BONNETERIE, ÉTIQUETTES, ÉCUSSONS ET </t>
  </si>
  <si>
    <t>=t("   ETOFFES DE BONNETERIE D'UNE LARGEUR &lt;= 30 CM, À TENEUR EN FILS D'ÉLASTOMÈRES ET DE CAOUTCHOUC OU UNIQUEMENT DE CAOUTCHOUC &gt;= 5% EN POIDS (À L'EXCL. DES VELOURS, PELUCHES, Y.C. LES ÉTOFFES DITES 'À LONGS POILS', ÉTOFFES À BOUCLES EN BONNETERIE, ÉTIQ</t>
  </si>
  <si>
    <t xml:space="preserve">=t("   MANTEAUX, CABANS, CAPES, ANORAKS, BLOUSONS ET ARTICLES SIMIL., EN BONNETERIE, DE MATIÈRES TEXTILES, POUR HOMMES ET GARÇONNETS (SAUF DE COTON, FIBRES SYNTHÉTIQUES OU ARTIFICIELLES ET SAUF COSTUMES OU COMPLETS, ENSEMBLES, VESTES, VESTONS, BLAZERS ET </t>
  </si>
  <si>
    <t>=t("   PANTALONS, Y.C. KNICKERS ET PANTALONS SIMIL., ET CULOTTES, SALOPETTES À BRETELLES ET SHORTS, EN BONNETERIE, DE MATIÈRES TEXTILES, POUR FEMMES OU FILLETTES (SAUF DE LAINE, POILS FINS, COTON, FIBRES SYNTHÉTIQUES ET SAUF SLIPS ET MAILLOTS, CULOTTES ET</t>
  </si>
  <si>
    <t>=t("   Déshabillés, peignoirs de bain, robes de chambre et articles simil., en bonneterie, de matières textiles, pour femmes ou fillettes (sauf de coton ou fibres synthétiques ou artificielles et sauf gilets de corps, combinaisons et fonds de robe, jupons</t>
  </si>
  <si>
    <t>=t("   BAS ET MI-BAS, CHAUSSETTES ET AUTRES ARTICLES CHAUSSANTS, Y.C. LES BAS À VARICES, EN BONNETERIE, DE MATIÈRES TEXTILES (AUTRES QUE LAINE, POILS FINS, COTON, FIBRES SYNTHÉTIQUES ET SAUF COLLANTS 'BAS-CULOTTES' BAS ET MI-BAS POUR FEMMES À TITRE &lt; 67 D</t>
  </si>
  <si>
    <t>=t("   ANORAKS, BLOUSONS ET ARTICLES SIMIL. DE COTON, POUR HOMMES OU GARÇONNETS (À L'EXCL. DES ARTICLES EN BONNETERIE ET DES COSTUMES OU COMPLETS, ENSEMBLES, VESTES, VESTONS, BLAZERS, PANTALONS ET PARTIES SUPÉRIEURES DES ENSEMBLES DE SKI) [01/01/1988-31/1</t>
  </si>
  <si>
    <t>=t("   Anoraks, blousons et articles simil., de matières textiles, pour hommes ou garçonnets (autres que laine, poils fins, coton, fibres synthétiques ou artificielles et à l'excl. des articles en bonneterie et des costumes ou complets, ensembles, vestes,</t>
  </si>
  <si>
    <t>=t("   Anoraks, blousons et articles simil., de matières textiles, pour femmes ou fillettes (autres que laine, poils fins, coton, fibres synthétiques ou artificielles et à l'excl. des articles en bonneterie et des costumes tailleurs, ensembles, vestes, bl</t>
  </si>
  <si>
    <t>=t("   Costumes ou complets, de matières textiles, pour hommes ou garçonnets (autres que laine, poils fins ou fibres synthétiques, autres qu'en bonneterie et sauf survêtements de sport 'trainings', combinaisons et ensembles de ski, maillots, culottes et s</t>
  </si>
  <si>
    <t>=t("   Pantalons, y.c. knickers et pantalons simil., salopettes à bretelles, culottes et shorts, de matières textiles, pour hommes ou garçonnets (autres que laine, poils fins, coton ou fibres synthétiques, autres qu'en bonneterie et sauf slips et caleçons</t>
  </si>
  <si>
    <t xml:space="preserve">=t("   Pantalons, y.c. knickers et pantalons simil., salopettes à bretelles, culottes et shorts, de matières textiles, pour femmes ou fillettes (autres que de laine, poils fins, coton, fibres synthétiques ou artificielles, autres qu'en bonneterie et sauf </t>
  </si>
  <si>
    <t>=t("   Chemisiers, blouses, blouses-chemisiers et chemisettes, de matières textiles, pour femmes ou fillettes (autres que de laine, poils fins, coton, fibres synthétiques ou artificielles, soie et déchets de soie, autres qu'en bonneterie et sauf gilets de</t>
  </si>
  <si>
    <t>=t("   Gilets de corps, chemises de jour, slips, déshabillés, peignoirs de bain, robes de chambre et articles simil., de matières textiles, pour femmes ou fillettes (autres que de coton, fibres synthétiques ou artificielles, autres qu'en bonneterie et sau</t>
  </si>
  <si>
    <t>=t("   Vêtements de tissus, autres qu'en bonneterie, caoutchoutés ou imprégnés, enduits ou recouverts de matière plastique ou d'autres substances, pour hommes ou garçonnets (autres que vêtements des types du n° 6201.11 à 6201.19 [manteaux, cabans, capes e</t>
  </si>
  <si>
    <t>=t("   Vêtements de tissus, autres qu'en bonneterie, caoutchoutés ou imprégnés, enduits ou recouverts de matière plastique ou d'autres substances, pour femmes ou fillettes (autres que vêtements des types du n° 6202.11 à 6202.19 [manteaux, cabans, capes et</t>
  </si>
  <si>
    <t>=t("   Corsets, bretelles, jarretelles, jarretières et simil. et leurs parties, y.c. parties de soutiens-gorge, gaines, gaines-culottes et combinés, en tous types de matières textiles, même élastiques et même en bonneterie (sauf soutiens-gorge, gaines, ga</t>
  </si>
  <si>
    <t>=t("   Couvertures de matières textiles (autres que de laine ou poils fins, coton ou fibres synthétiques et que chauffantes électriques et sauf linge de table, couvre-lits, linge de lit et les articles simil. du n° 9404 [sommiers et autres articles de lit</t>
  </si>
  <si>
    <t xml:space="preserve">=t("   Articles d'ameublement en bonneterie (sauf couvertures, linge de lit, linge de table, linge de toilette et de cuisine, vitrages, rideaux, stores d'intérieur, cantonnières et tours de lit, couvre-lits, abat-jour et les articles du n° 9404 [sommiers </t>
  </si>
  <si>
    <t>=t("   Articles d'ameublement, de coton (autres qu'en bonneterie et sauf couvertures, linge de lit, linge de table, linge de toilette et de cuisine, vitrages, rideaux, stores d'intérieur, cantonnières et tours de lit, couvre-lits, abat-jour et les article</t>
  </si>
  <si>
    <t xml:space="preserve">=t("   Articles d'ameublement, de fibres synthétiques (autres qu'en bonneterie et sauf couvertures, linge de lit, linge de table, linge de toilette et de cuisine, vitrages, rideaux, stores d'intérieur, cantonnières et tours de lit, couvre-lits, abat-jour </t>
  </si>
  <si>
    <t>=t("   Articles d'ameublement, de matières textiles (autres que de coton ou fibres synthétiques, autres qu'en bonneterie et sauf couvertures, linge de lit, linge de table, linge de toilette et de cuisine, vitrages, rideaux, stores d'intérieur, cantonnière</t>
  </si>
  <si>
    <t>=t("   Articles de friperie composés de vêtements, accessoires du vêtement, couvertures, linge de maison et articles d'aménagement intérieur, en tous types de matières textiles, y.c. les chaussures et coiffures de tous genres, manifestement usagés et prés</t>
  </si>
  <si>
    <t>=t("   Chaussures étanches, à semelles extérieures et dessus en caoutchouc ou en matière plastique, dont le dessus n'a été ni réuni à la semelle extérieure par couture ou par rivets, clous, vis, tétons ou dispositifs simil., ni formé de différentes partie</t>
  </si>
  <si>
    <t xml:space="preserve">=t("   CHAUSSURES ÉTANCHES, À SEMELLES EXTÉRIEURES ET DESSUS EN CAOUTCHOUC OU EN MATIÈRE PLASTIQUE, DONT LE DESSUS N'A ÉTÉ NI RÉUNI À LA SEMELLE EXTÉRIEURE PAR COUTURE OU PAR RIVETS, CLOUS OU DISPOSITIFS SIMIL., NI FORMÉ DE DIFFÉRENTES PARTIES ASSEMBLÉES </t>
  </si>
  <si>
    <t>=t("   Chaussures de sport à semelles extérieures et dessus en caoutchouc ou en matière plastique (sauf chaussures étanches du n° 6401, chaussures de ski, chaussures pour le surf des neiges et chaussures auxquelles sont fixés des patins à glace ou à roule</t>
  </si>
  <si>
    <t xml:space="preserve">=t("   Chaussures à semelles extérieures et dessus en caoutchouc ou en matières plastiques, comportant à l'avant, une coquille de protection en métal (sauf chaussures étanches à semelles extérieures et dessus en caoutchouc ou matières plastiques, dont le </t>
  </si>
  <si>
    <t>=t("   CHAUSSURES À SEMELLES EXTÉRIEURES ET DESSUS EN CAOUTCHOUC OU EN MATIÈRES PLASTIQUES (SAUF COUVRANT LA CHEVILLE OU À DESSUS EN LANIÈRES OU BRIDES FIXÉES À LA SEMELLE PAR DES TÉTONS AINSI QUE DES CHAUSSURES ÉTANCHES DU N° 6401, DES CHAUSSURES D'ORTHO</t>
  </si>
  <si>
    <t>=t("   Chaussures de sport à semelles extérieures en caoutchouc, matière plastique, cuir naturel ou reconstitué et dessus en cuir naturel (sauf chaussures de ski, chaussures pour le surf des neiges et chaussures auxquelles sont fixés des patins à glace ou</t>
  </si>
  <si>
    <t>=t("   Chaussures à semelles extérieures en caoutchouc, matière plastique ou cuir reconstitué, à dessus en cuir naturel, couvrant la cheville (sauf avec coquille de protection en métal à l'avant et sauf chaussures de sport, d'orthopédie ou ayant le caract</t>
  </si>
  <si>
    <t>=t("   CHAUSSURES À SEMELLES EXTÉRIEURES EN CAOUTCHOUC, MATIÈRE PLASTIQUE OU CUIR RECONSTITUÉ, À DESSUS EN CUIR NATUREL (NE COUVRANT PAS LA CHEVILLE, SANS COQUILLE DE PROTECTION EN MÉTAL À L'AVANT ET SAUF CHAUSSURES DE SPORT, D'ORTHOPÉDIE OU AYANT LE CARA</t>
  </si>
  <si>
    <t>=t("   Chaussures à semelles extérieures en caoutchouc ou en matière plastique et à dessus en matières textiles (sauf chaussures de sport, y.c. chaussures dites de tennis, de basket-ball, de gymnastique, d'entraînement et chaussures simil. ainsi que chaus</t>
  </si>
  <si>
    <t>=t("   CHAUSSURES À SEMELLES EXTÉRIEURES EN CAOUTCHOUC OU EN MATIÈRE PLASTIQUE ET À DESSUS EN AUTRES MATIÈRES QUE CAOUTCHOUC, MATIÈRE PLASTIQUE, CUIR OU MATIÈRES TEXTILES; CHAUSSURES À SEMELLES EXTÉRIEURES EN CUIR NATUREL OU RECONSTITUÉ ET À DESSUS EN D'A</t>
  </si>
  <si>
    <t>=t("   Chapeaux et autres coiffures en bonneterie ou confectionnés à l'aide de dentelles, feutre ou autres produits textiles, en pièces -mais non en bandes-, même garnis (sauf résilles, filets à cheveux et coiffures pour animaux ou ayant le caractère de j</t>
  </si>
  <si>
    <t>=t("   BONNETS DE BAIN, CAPUCHONS ET AUTRES COIFFURES, MÊME GARNIS, EN CAOUTCHOUC OU EN MATIÈRE PLASTIQUE (À L'EXCL. DES COIFFURES DE SÉCURITÉ ET DES COIFFURES AYANT LE CARACTÈRE DE JOUETS OU D'ARTICLES DE CARNAVAL) [01/01/1988-31/12/1994: BONNETS DE BAIN</t>
  </si>
  <si>
    <t>=t("   Carreaux, cubes, dés et autres pierres naturelles travaillées, y.c. l'ardoise, pour mosaïques et ouvrages analogues, même de forme autre que carrée ou rectangulaire, dont la plus grande surface peut être inscrite dans un carré de côté &lt; 7 cm; granu</t>
  </si>
  <si>
    <t>=t("   Marbre, travertin et albâtre, ouvrages en ces pierres, simplement taillés ou sciés et à surface plane ou unie (sauf à surface entièrement ou partiellement rabotée, poncée au papier sablé, grossièrement ou finement meulée ou polie; non du n° 6801.00</t>
  </si>
  <si>
    <t>=t("   Pierres de taille ou de construction, naturelles, autres que les pierres calcaires, le granit et l'ardoise et ouvrages en ces pierres, simplement taillées ou sciées et à surface plane ou unie (sauf à surface entièrement ou partiellement rabotée, po</t>
  </si>
  <si>
    <t>=t("   Marbre, travertin et albâtre de n'importe quelle forme, polis, décorés ou autrement travaillés (sauf ouvrages du n° 6801.00.00 ou 6802.10.00; bijoux de fantaisie; pendules et articles d'horlogerie, appareils d'éclairage et leurs parties; boutons; o</t>
  </si>
  <si>
    <t>=t("   PIERRES DE TAILLE OU DE CONSTRUCTION, NATURELLES, AUTRES QUE LES PIERRES CALCAIRES, LE GRANIT, L'ARDOISE, DE N'IMPORTE QUELLE FORME, POLIES, DÉCORÉES OU AUTREMENT TRAVAILLÉES (SAUF OUVRAGES DU 6802.10; ARTICLES EN BASALTE FONDU OU EN STÉATITE CÉRAM</t>
  </si>
  <si>
    <t>=t("   Meules et articles simil., sans bâtis, à broyer, aiguiser, polir, rectifier, trancher ou tronçonner, en abrasifs agglomérés ou en céramique (sauf diamants naturels ou synthétiques agglomérés et sauf pierres à aiguiser ou à polir à la main, la pierr</t>
  </si>
  <si>
    <t>=t("   Mélanges et ouvrages en matières minérales à usage d'isolants thermiques ou sonores ou pour l'absorption du son (sauf laines de laitier, de scories, de roche et laines minérales simil.; vermiculite expansée, argile expansée, mousse de scories et pr</t>
  </si>
  <si>
    <t>=t("   Planches, plaques, panneaux, carreaux et articles simil., en plâtre ou en compositions à base de plâtre, non ornementés, revêtus ou renforcés de papier ou de carton uniquement (sauf ouvrages à liaison en plâtre à usage d'isolants thermiques ou sono</t>
  </si>
  <si>
    <t xml:space="preserve">=t("   Planches, plaques, panneaux, carreaux et articles simil., en plâtre ou en compositions à base de plâtre, non ornementés (sauf revêtus ou renforcés de papier ou de carton uniquement et sauf ouvrages à liaison en plâtre à usage d'isolants thermiques </t>
  </si>
  <si>
    <t>=t("   Ouvrages en plâtre ou en compositions à base de plâtre (sauf plâtre en bandes et attelles en plâtre pour le traitement de fractures des os; cloisons légères ou ouvrages à usage d'isolants thermiques ou sonores ou pour l'absorption du son, à liaison</t>
  </si>
  <si>
    <t>=t("   Amiante [asbeste] travaillé en fibres; mélanges à base d'amiante ou à base d'amiante et de carbonate de magnésium; ouvrages en ces mélanges ou en amiante [p.ex. fils cordes, cordons, tissus, joints], même armés (sauf feuilles en amiante et élastomè</t>
  </si>
  <si>
    <t>=t("   Garnitures de friction [p.ex. plaques, rouleaux, bandes, segments, disques, rondelles, plaquettes], pour embrayages ou autres organes de frottement, à base d'amiante, d'autres substances minérales ou de cellulose, même combinées à des matières text</t>
  </si>
  <si>
    <t>=t("   Briques, dalles, carreaux et pièces céramiques de construction analogues, réfractaires, teneur en poids en alumine -Al2O3-, silice SiO2, ou un mélange ou combinaison de ces matières &gt; 50% (autres que ceux en farines siliceuses fossiles ou en terres</t>
  </si>
  <si>
    <t>=t("   Briques, dalles, carreaux et pièces céramiques de construction analogues, réfractaires (autres qu'avec une teneur en poids en éléments Mg, Ca ou Cr pris isolément ou ensemble et exprimés en MgO, CaO ou Cr2O3 &gt; 50% ou avec une teneur en poids en alu</t>
  </si>
  <si>
    <t>=t("   Cornues, creusets, moufles, busettes, tampons, supports, coupelles, tubes, tuyaux, gaines et autres articles céramiques réfractaires (sauf produits en farines siliceuses fossiles ou en terres siliceuses analogues; briques, dalles, carreaux et pièce</t>
  </si>
  <si>
    <t>=t("   Tuiles, éléments de cheminée, conduits de fumée, ornements architectoniques et autres poteries de bâtiment, en céramique (autres qu'en farines siliceuses fossiles ou en terres siliceuses analogues, sauf pièces céramiques de construction et sauf tuy</t>
  </si>
  <si>
    <t>=t("   Tuyaux, conduits, gouttières et pièces d'assemblage pour tuyaux, pièces d'obturation de tuyaux, raccords de tuyaux et autres accessoires de tuyauterie, en céramique (sauf articles en farines siliceuses fossiles ou en terres siliceuses analogues; ar</t>
  </si>
  <si>
    <t xml:space="preserve">=t("   CARREAUX ET DALLES DE PAVEMENT ET DE REVÊTEMENT, EN CÉRAMIQUE, NON-VERNISSÉS NI ÉMAILLÉS (SAUF ARTICLES EN FARINES SILICEUSES FOSSILES OU EN TERRES SILICEUSES ANALOGUES, ARTICLES CÉRAMIQUES RÉFRACTAIRES, CARREAUX SERVANT DE DESSOUS-DE-PLAT, OBJETS </t>
  </si>
  <si>
    <t>=t("   Carreaux et dalles de pavement ou de revêtement, en céramique, vernissés ou émaillés (sauf articles en farines siliceuses fossiles ou en terres siliceuses analogues, articles céramiques réfractaires, carreaux servant de dessous-de-plat, objets d'or</t>
  </si>
  <si>
    <t xml:space="preserve">=t("   ÉVIERS, LAVABOS, COLONNES DE LAVABOS, BAIGNOIRES, BIDETS, CUVETTES D'AISANCE, RÉSERVOIRS DE CHASSE, URINOIRS ET APPAREILS FIXES SIMIL. POUR USAGES SANITAIRES, EN PORCELAINE (SAUF PORTE-SAVON, PORTE-ÉPONGE, PORTE-BROSSE À DENTS, PORTE-SERVIETTES ET </t>
  </si>
  <si>
    <t>=t("   ÉVIERS, LAVABOS, COLONNES DE LAVABOS, BAIGNOIRES, BIDETS, CUVETTES D'AISANCE, RÉSERVOIRS DE CHASSE, URINOIRS ET APPAREILS FIXES SIMIL. POUR USAGES SANITAIRES EN CÉRAMIQUE (AUTRES QU'EN PORCELAINE ET SAUF PORTE-SAVON, PORTE-ÉPONGE, PORTE-BROSSE À DE</t>
  </si>
  <si>
    <t>=t("   Articles pour le service de la table ou de la cuisine en porcelaine (sauf objets d'ornementation; cruchons, cornues et récipients simil. de transport ou d'emballage; moulins à café et moulins à épices avec récipient en céramique et élément de trava</t>
  </si>
  <si>
    <t>=t("   Vaisselle et autres articles de ménage ou d'économie domestique et articles d'hygiène et de toilette en porcelaine (sauf articles pour le service de table ou de cuisine; baignoires, éviers et autres appareils fixes simil.; statuettes et autres obje</t>
  </si>
  <si>
    <t>=t("   Vaisselle, autres articles de ménage ou d'économie domestique et articles d'hygiène ou de toilette en céramique, autres que la porcelaine (sauf baignoires, bidets, éviers et autres appareils fixes simil.; statuettes et autres objets d'ornementation</t>
  </si>
  <si>
    <t>=t("   PLAQUES OU FEUILLES EN GLACE [VERRE FLOTTÉ ET VERRE DOUCI SUR UNE OU DEUX FACES], COLORÉE DANS LA MASSE, OPACIFIÉE, PLAQUÉE [DOUBLÉE] OU SIMPL. DOUCIE, MAIS NON AUTREMENT TRAVAILLÉE (AUTRE QU'ARMÉE ET AUTRE QU'À COUCHE ABSORBANTE, RÉFLÉCHISSANTE OU</t>
  </si>
  <si>
    <t>=t("   PLAQUES OU FEUILLES EN GLACE [VERRE FLOTTÉ ET VERRE DOUCI ET POLI SUR UNE OU DEUX FACES], NON AUTREMENT TRAVAILLÉE (AUTRE QU'ARMÉE, COLORÉE DANS LA MASSE, OPACIFIÉE, PLAQUÉE [DOUBLÉE] OU SIMPL. DOUCIE, OU À COUCHE ABSORBANTE, RÉFLÉCHISSANTE OU NON-</t>
  </si>
  <si>
    <t xml:space="preserve">=t("   PLAQUES, FEUILLES OU PROFILÉS EN VERRE, MÊME À COUCHE ABSORBANTE, RÉFLÉCHISSANTE OU NON-RÉFLÉCHISSANTE, COURBÉ, BISEAUTÉ, GRAVÉ, PERCÉ, ÉMAILLÉ OU AUTREMENT TRAVAILLÉ MAIS NON-ENCADRÉ NI ASSOCIÉ À D'AUTRES MATIÈRES (SAUF VERRE DE SÉCURITÉ, VITRAGE </t>
  </si>
  <si>
    <t>=t("   VERRES TREMPÉS (À L'EXCL. DES VERRES DE LUNETTERIE OU D'HORLOGERIE AINSI QUE DES VERRES DE DIMENSIONS ET FORMATS PERMETTANT LEUR EMPLOI DANS LES AUTOMOBILES, VÉHICULES AÉRIENS, BATEAUX OU AUTRES VÉHICULES) [01/01/1988-31/12/1988: VERRES TREMPES, -D</t>
  </si>
  <si>
    <t>=t("   VERRES FORMÉS DE FEUILLES CONTRECOLLÉES, DE DIMENSIONS ET FORMATS PERMETTANT LEUR EMPLOI DANS LES AUTOMOBILES, VÉHICULES AÉRIENS, BATEAUX OU AUTRES VÉHICULES (À L'EXCL. DES VITRAGES ISOLANTS À PAROIS MULTIPLES) [01/01/1988-31/12/1988: PARE-BRISE FO</t>
  </si>
  <si>
    <t>=t("   VERRE FORMÉ DE FEUILLES CONTRECOLLÉES, DE SÉCURITÉ (AUTRES QUE DES DIMENSIONS ET FORMES PERMETTANT SON EMPLOI DANS LES VÉHICULES AUTOMOBILES, VÉHICULES AÉRIENS, BATEAUX OU AUTRES VÉHICULES ET SAUF VITRAGE ISOLANT À PAROIS MULTIPLES) [01/01/1988-31/</t>
  </si>
  <si>
    <t>=t("   Bonbonnes, bouteilles, flacons, bocaux, pots, emballages tubulaires et autres récipients en verre pour le transport ou l'emballage commercial et bocaux à conserves en verre (sauf ampoules, bouteilles isolantes et récipients dont l'isolation est ass</t>
  </si>
  <si>
    <t xml:space="preserve">=t("   BONBONNES, BOUTEILLES, FLACONS, BOCAUX, POTS, EMBALLAGES TUBULAIRES ET AUTRES RÉCIPIENTS EN VERRE POUR LE TRANSPORT OU L'EMBALLAGE COMMERCIAL ET BOCAUX A CONSERVES EN VERRE, D'UNE CONTENANCE &gt; 1 L (SAUF AMPOULES, BOUTEILLES ISOLANTES ET RÉCIPIENTS </t>
  </si>
  <si>
    <t>=t("   BONBONNES, BOUTEILLES, FLACONS, BOCAUX, POTS, EMBALLAGES TUBULAIRES ET AUTRES RÉCIPIENTS EN VERRE POUR LE TRANSPORT OU L'EMBALLAGE COMMERCIAL ET BOCAUX A CONSERVES EN VERRE, D'UNE CONTENANCE &gt; 0,33 L MAIS &lt;= 1 L (SAUF AMPOULES, BOUTEILLES ISOLANTES</t>
  </si>
  <si>
    <t xml:space="preserve">=t("   Objets en verre, pour le service de la table ou la cuisine, d'un coefficient de dilatation linéaire &lt;= 5 x 10-6 par kelvin entre 0°C et 300°C (autres que les articles en vitrocérame ou en cristal de plomb, les perles de verre et articles simil. de </t>
  </si>
  <si>
    <t>=t("   Objets en verre, pour le service de la table ou pour la cuisine (autres qu'à coefficient de dilatation linéaire &lt;= 5 x 10-6 par kelvin entre 0°C et 300°C, sauf articles en vitrocérame ou en cristal au plomb, perles de verre et articles simil. de ve</t>
  </si>
  <si>
    <t>=t("   Objets en verre pour la toilette, le bureau, la décoration intérieure et usages simil. (autres qu'en cristal au plomb et autres que pour le service de la table ou pour la cuisine, autres que les perles en verre et articles simil. de verroterie du n</t>
  </si>
  <si>
    <t>=t("   Verres d'horlogerie et simil., verres de lunetterie commune, bombés, cintrés, creusés ou simil., mais non travaillés optiquement, sphères -boules- creuses et les segments en verre pour la fabrication de ces verres, y.c. la lunetterie médicale (sauf</t>
  </si>
  <si>
    <t>=t("   Pavés, briques, carreaux, tuiles et autres articles, en verre pressé ou moulé, même armé, pour le bâtiment ou la construction; verres assemblés en vitraux; verre -multicellulaire- ou verre -mousse- en blocs, panneaux, plaques, coquilles ou formes s</t>
  </si>
  <si>
    <t>=t("   Verrerie de laboratoire, d'hygiène ou de pharmacie, même graduée ou jaugée, en verre d'un coefficient de dilatation linéaire &lt;= 5 x 10-6 par kelvin entre 0°C et 300°C (sauf en quartz ou en autre silice fondus, sauf récipients de transport ou d'emba</t>
  </si>
  <si>
    <t>=t("   Verrerie de laboratoire, d'hygiène ou de pharmacie, même graduée ou jaugée (sauf en verre à coefficient de dilatation linéaire &lt;= 5 x 10-6 par kelvin entre 0°C et 300°C, ou en quartz ou autres silices fondus, sauf récipients de transport ou d'embal</t>
  </si>
  <si>
    <t>=t("   FIBRES DE VERRE, Y.C. LA LAINE DE VERRE, ET OUVRAGES EN CES MATIÈRES (SAUF FIBRES DISCONTINUES; STRATIFILS 'ROVINGS', MÈCHES ET FILS; LAINE DE VERRE COUPÉE; TISSUS, Y.C. LES RUBANS; VOILES, MATS, NAPPES, PANNEAUX ET PRODUITS SIMIL. NON-TISSÉS; LAIN</t>
  </si>
  <si>
    <t>=t("   Articles d'orfèvrerie et leurs parties, en plaqués ou doublés de métaux précieux sur métaux communs (à l'excl. des articles de bijouterie ou de joaillerie, des articles d'horlogerie, instruments de musique, armes, pulvérisateurs de parfum et leur t</t>
  </si>
  <si>
    <t>=t("   Ferro-alliages (à l'excl. du ferromanganèse, du ferrosilicium, du ferrosilicomanganèse, du ferrochrome, du ferrosilicochrome, du ferronickel, du ferromolybdène, du ferrotungstène, du ferrosilicotungstène, du ferrotitane, du ferrosilicotitane, du fe</t>
  </si>
  <si>
    <t>=t("   DÉCHETS ET DÉBRIS DE FER OU D'ACIER [FERRAILLES] (SAUF DÉCHETS ET DÉBRIS RADIOACTIFS ET DE PILES, DE BATTERIES DE PILES ET D'ACCUMULATEURS ÉLECTRIQUES; SCORIES, LAITIERS ET AUTRES DÉCHETS DE LA FABRICATION DU FER OU DE L'ACIER; MORCEAUX PROVENANT D</t>
  </si>
  <si>
    <t>=t("   PRODUITS LAMINÉS PLATS, EN FER OU EN ACIERS NON-ALLIÉS, D'UNE LARGEUR &gt;= 600 MM, LAMINÉS À CHAUD OU À FROID, PLAQUÉS OU REVÊTUS (À L'EXCL. DES PRODUITS ÉTAMÉS, PLOMBÉS, ZINGUÉS, PEINTS, VERNIS OU REVÊTUS D'ALUMINIUM, DE MATIÈRES PLASTIQUES OU D'OXY</t>
  </si>
  <si>
    <t>=t("   FIL MACHINE EN FER OU ACIERS NON-ALLIÉS, ENROULÉ EN COURONNES IRRÉGULIÈRES (AUTRE QUE DE SECTION CIRCULAIRE DE DIAMÈTRE &lt; 14 MM, AUTRE QUE FIL MACHINE EN ACIERS DE DÉCOLLETAGE, OU AVEC INDENTATIONS, BOURRELETS, CREUX OU RELIEFS OBTENUS LORS DU LAMI</t>
  </si>
  <si>
    <t>=t("   BARRES EN ACIERS DE DÉCOLLETAGE NON ALLIÉS, SIMPLEMENT LAMINÉES À CHAUD OU FILÉES À CHAUD OU EXTRUDÉES À CHAUD (À L'EXCL. DES BARRES COMPORTANT DES INDENTATIONS, BOURRELETS, CREUX OU RELIEFS OBTENUS AU COURS DU LAMINAGE OU AYANT SUBI UNE TORSION AP</t>
  </si>
  <si>
    <t>=t("   BARRES EN FER OU EN ACIERS NON-ALLIÉS, SIMPL. LAMINÉES OU FILÉES À CHAUD, DE SECTION TRANSVERSALE RECTANGULAIRE (À L'EXCL. DES BARRES EN ACIERS DE DÉCOLLETAGE AINSI QUE DES BARRES COMPORTANT DES INDENTATIONS, BOURRELETS, CREUX OU RELIEFS OBTENUS AU</t>
  </si>
  <si>
    <t>=t("   BARRES EN FER OU EN ACIERS NON-ALLIÉS, SIMPL. LAMINÉES OU FILÉES À CHAUD (À L'EXCL. DE SECTION TRANSVERSALE RECTANGULAIRE, DES BARRES COMPORTANT DES INDENTATIONS, BOURRELETS, CREUX OU RELIEFS OBTENUS AU COURS DU LAMINAGE OU AYANT SUBI UNE TORSION A</t>
  </si>
  <si>
    <t>=t("   Profilés en fer ou en aciers non alliés, obtenus ou parachevés à froid et ayant subi certaines ouvraisons plus poussées (autres que obtenus à partir de produits laminés plats) ou simplement forgés ou forgés ou autrement obtenus à chaud et ayant sub</t>
  </si>
  <si>
    <t>=t("   TUBES, TUYAUX ET PROFILÉS CREUX SANS SOUDURE, DE SECTION CIRCULAIRE, EN FER (À L'EXCL. DE LA FONTE) OU ACIERS NON-ALLIÉS, ÉTIRÉS OU LAMINÉS À FROID (SAUF TUBES ET TUYAUX DES TYPES UTILISÉS POUR LES OLÉODUCS OU GAZODUCS OU POUR L'EXTRACTION DU PÉTRO</t>
  </si>
  <si>
    <t>=t("   TUBES, TUYAUX ET PROFILÉS CREUX, SANS SOUDURE, DE SECTION CIRCULAIRE, EN FER (À L'EXCL. DE LA FONTE) OU EN ACIERS NON-ALLIÉS, NON-ÉTIRÉS OU LAMINÉS À FROID (À L'EXCL. DES TUBES, TUYAUX ET PROFILÉS CREUX DES TYPES UTILISÉS POUR LES OLÉODUCS ET LES G</t>
  </si>
  <si>
    <t>=t("   TUBES, TUYAUX ET PROFILÉS CREUX SOUDÉS, DE SECTION CIRCULAIRE, EN FER OU ACIERS NON-ALLIÉS (SAUF TUBES DE SECTIONS INTÉRIEURE ET EXTÉRIEURE CIRCULAIRES ET DE DIAMÈTRE EXTÉRIEUR &gt; 406,4 MM ET SAUF TUBES DES TYPES UTILISÉS POUR LES OLÉODUCS OU LES GA</t>
  </si>
  <si>
    <t>=t("   Tubes, tuyaux et profilés creux soudés, de section circulaire, en aciers inoxydables (autres que tubes à sections intérieure et extérieure circulaires et à diamètre extérieur &gt; 406,4 mm et sauf tubes des types utilisés pour les oléoducs et les gazo</t>
  </si>
  <si>
    <t>=t("   Tubes, tuyaux et profilés creux soudés, de section circulaire, en aciers alliés autres qu'inoxydables (autres que tubes de sections intérieure et extérieure circulaires et d'un diamètre extérieur &gt; 406,4 mm et sauf tubes des types utilisés pour les</t>
  </si>
  <si>
    <t>=t("   Tubes, tuyaux et profilés creux soudés, de section autre que circulaire, en fer ou en acier (autres que tubes à sections intérieure et extérieure circulaires et d'un diamètre extérieur &gt; 406,4 mm et sauf tubes des types utilisés pour les oléoducs e</t>
  </si>
  <si>
    <t>=t("   Constructions et parties de constructions, en fonte, fer ou acier, n.d.a. (à l'excl. des ponts et éléments de ponts, tours et pylônes, portes et fenêtres et leurs cadres, chambranles et seuils, et à l'excl. du matériel d'échafaudage, de coffrage et</t>
  </si>
  <si>
    <t>=t("   Réservoirs, foudres, cuves et récipients simil. en fonte, fer ou acier, pour toutes matières (à l'excl. des gaz comprimés ou liquéfiés), d'une contenance &gt; 300 l, sans dispositifs mécaniques ou thermiques, même avec revêtement intérieur ou calorifu</t>
  </si>
  <si>
    <t xml:space="preserve">=t("   Toiles métalliques tissés, y.c. les toiles continues ou sans fin, en fils d'acier inoxydable (à l'excl. des toiles en fils métalliques des types utilisés pour les vêtements, aménagements intérieurs et usages simil. et sauf toiles continues ou sans </t>
  </si>
  <si>
    <t>=t("   Toiles métalliques tissés, y.c. les toiles continues ou sans fin, en fils de fer ou d'aciers autres qu'inoxydables (à l'excl. des toiles en fils métalliques des types utilisés pour vêtements, aménagements intérieurs et usages simil. et sauf les toi</t>
  </si>
  <si>
    <t>=t("   Chaînes et chaînettes en fonte, fer ou acier (sauf chaînes à maillons articulés, antidérapantes, à maillons à étais, à maillons soudés, et leurs parties; chaînes et chaînettes de montres, d'horloges ou de bijouterie; chaînes dentées et à scie; chen</t>
  </si>
  <si>
    <t>=t("   Vis et boulons filetés, en fonte, fer ou acier, même avec leurs écrous ou rondelles (à l'excl. des tire-fond et autres vis à bois, crochets et pitons à pas de vis, vis autotaraudeuses, clous taraudeurs ainsi que des chevilles vissées, tampons et ar</t>
  </si>
  <si>
    <t>=t("   RESSORTS ET LAMES DE RESSORTS EN FER OU EN ACIER, Y.C. LES RESSORTS SPIRAUX PLATS (À L'EXCL. DES RESSORTS EN HÉLICE, RESSORTS SPIRAUX, RESSORTS À LAMES ET LEURS LAMES, RESSORTS DE MONTRES, RONDELLES-RESSORTS, RONDELLES ÉLASTIQUES ET SAUF RESSORTS-A</t>
  </si>
  <si>
    <t>=t("   Appareils de cuisson tels que foyers de cuisson, barbecues, grilloirs, réchauds et cuisinières, ainsi que chauffe-plats, à usage domestique, en fonte, fer ou acier, à combustibles gazeux ou à gaz et autres combustibles (à l'excl. des appareils dest</t>
  </si>
  <si>
    <t>=t("   Appareils de cuisson tels que foyers de cuisson, barbecues, grilloirs, réchauds et cuisinières, ainsi que chauffe-plats, à usage domestique, en fonte, fer ou acier, à combustibles liquides (à l'excl. des appareils destinés à la cuisine à grande éch</t>
  </si>
  <si>
    <t>=t("   Poêles, chaudières à foyer, foyers de lessiveuses, chaudières avec foyer pour la lessive, braseros et appareils ménagers simil., en fonte, fer ou acier, à combustibles gazeux ou à gaz et autres combustibles (à l'excl. des appareils de cuisson, chau</t>
  </si>
  <si>
    <t>=t("   Articles de ménage ou d'économie domestique et leurs parties, en fonte émaillée (à l'excl. des bidons, boîtes et récipients simil. du n° 7310; poubelles; pelles et autres articles à caractère d'outils; cuillers, louches, fourchettes, écumoires, pel</t>
  </si>
  <si>
    <t>=t("   Articles de ménage ou d'économie domestique et leurs parties, en aciers inoxydables (à l'excl. des bidons, boîtes et récipients simil. du n° 7310; poubelles; pelles, tire-bouchons et autres articles à caractère d'outils; coutellerie et cuillers, lo</t>
  </si>
  <si>
    <t>=t("   Articles de ménage ou d'économie domestique et leurs parties, en fer ou en aciers autres qu'inoxydables, émaillés (à l'excl. de la fonte; des bidons, boîtes et récipients simil. du n° 7310; poubelles; pelles et autres articles à caractère d'outils;</t>
  </si>
  <si>
    <t>=t("   Articles de ménage ou d'économie domestique et leurs parties, en fer ou aciers autres qu'inoxydables (sauf fonte et articles émaillés; bidons, boîtes et récipients simil. du n° 7310; poubelles; pelles, tire-bouchons et autres articles à caractère d</t>
  </si>
  <si>
    <t>=t("   Articles d'hygiène ou de toilette et leurs parties, en fonte, fer ou acier (à l'excl. des bidons, boîtes et récipients simil. du n° 7310, des petites armoires suspendues à pharmacie ou de toilette et autres meubles du chapitre 94, des éviers et lav</t>
  </si>
  <si>
    <t>=t("   FILS EN ALLIAGES DE CUIVRE (À L'EXCL. DES PRODUITS EN ALLIAGES À BASE DE CUIVRE-ZINC [LAITON], DE CUIVRE-NICKEL [CUPRONICKEL] OU DE CUIVRE-NICKEL-ZINC [MAILLECHORT]) [01/01/1988-31/12/1994: FILS EN ALLIAGES DE CUIVRE (SAUF EN ALLIAGES A BASE DE CUI</t>
  </si>
  <si>
    <t>=t("   ARTICLES DE MÉNAGE OU D'ÉCONOMIE DOMESTIQUE ET LEURS PARTIES, EN CUIVRE (SAUF ÉPONGES, TORCHONS, GANTS ET ARTICLES SIMIL.; BIDONS, BOÎTES ET RÉCIPIENTS SIMIL. DU N° 7419; ARTICLES À CARACTÈRE D'OUTILS; COUTELLERIE, CUILLERS, FOURCHETTES, ETC.; OBJE</t>
  </si>
  <si>
    <t>=t("   Déchets et débris d'aluminium (sauf scories, mâchefer, etc., produits par la sidérurgie et contenant de l'aluminium récupérable sous forme de silicates, les déchets lingotés et autres formes brutes simil. en déchets ou débris d'aluminium fondus, et</t>
  </si>
  <si>
    <t>=t("   Articles de ménage, d'économie domestique, et leurs parties, en aluminium (sauf éponges, torchons, gants et articles simil.; bidons, boîtes et récipients simil. du n° 7612; articles ayant le caractère d'outils, cuillers, louches, fourchettes et art</t>
  </si>
  <si>
    <t xml:space="preserve">=t("   Pointes, clous, crampons appointés, vis, boulons, écrous, crochets à pas de vis, rivets, goupilles, chevilles, clavettes, rondelles et simil., en aluminium(sauf agrafes présentées en barrettes et sauf chevilles vissées, tampons et articles simil., </t>
  </si>
  <si>
    <t>=t("   Faux et faucilles, couteaux à foin ou à paille et autres outils agricoles, horticoles ou forestiers, à main, avec partie travaillante en métaux communs (à l'excl. des bêches, pelles, fourches, pioches, pics, houes, binettes, râteaux, racloirs, hach</t>
  </si>
  <si>
    <t>=t("   LAMES DE SCIES, Y.C. LES LAMES DE SCIES NON-DENTÉES, EN MÉTAUX COMMUNS (À L'EXCL. DES LAMES DE SCIES À RUBAN, DES LAMES DE SCIES CIRCULAIRES, DES LAMES DE FRAISES-SCIES, DES CHAÎNES DE SCIE DITES -COUPANTES- ET SAUF LAMES DE SCIES DROITES POUR LE T</t>
  </si>
  <si>
    <t>=t("   Couteaux et lames tranchantes, en métaux communs, pour machines ou appareils mécaniques (sauf pour le travail du métal ou du bois, sauf pour appareils de cuisine ou pour machines de l'industrie alimentaire, et sauf pour machines agricoles, horticol</t>
  </si>
  <si>
    <t xml:space="preserve">=t("   APPAREILS MÉCANIQUES ACTIONNÉS À LA MAIN, EN MÉTAUX COMMUNS, D'UN POIDS &lt;= 10 KG, UTILISÉS POUR PRÉPARER, CONDITIONNER OU SERVIR LES ALIMENTS OU LES BOISSONS [01/01/1988-31/12/1994: APPAREILS MECANIQUES ACTIONNES A LA MAIN, EN METAUX COMMUNS, D'UN </t>
  </si>
  <si>
    <t>=t("   Couteaux à lame fixe en métaux communs (sauf couteaux à foin et à paille, coutelas et machettes, couteaux et lames tranchantes pour machines ou appareils mécaniques, couteaux à poisson, couteaux à beurre, petites et grandes lames de rasoirs et autr</t>
  </si>
  <si>
    <t>=t("   Cuillers, fourchettes, louches, écumoires, pelles à tartes, couteaux spéciaux à poisson ou à beurre, pinces à sucre et articles simil., en métaux communs, ni argentés, ni dorés, ni platinés (sauf en assortiments et sauf cisailles à volaille et à ho</t>
  </si>
  <si>
    <t>=t("   GARNITURES, FERRURES ET ARTICLES SIMIL. EN MÉTAUX COMMUNS (SAUF SERRURES ET VERROUS DE S¹RETÉ À CLEF, FERMOIRS ET MONTURES-FERMOIRS À SERRURE, CHARNIÈRES, ROULETTES, GARNITURES, FERRURES ET SIMIL. POUR BÂTIMENTS AINSI QUE GARNITURES, FERRURES ET AR</t>
  </si>
  <si>
    <t>=t("   Attache-lettres, coins de lettres, trombones, onglets de signalisation, et matériel de bureau similaire en métaux communs, y.c. les parties des articles du n° 8305 (à l'excl. des mécanismes complets pour reliure de feuillets mobiles ou pour classeu</t>
  </si>
  <si>
    <t>=t("   Fermoirs, montures-fermoirs sans serrure, boucles, boucles-fermoirs et articles simil., en métaux communs, pour vêtements, chaussures, maroquinerie, etc., y.c. les parties des articles du n° 8308, en métaux communs (sauf agrafes, crochets, oeillets</t>
  </si>
  <si>
    <t xml:space="preserve">=t("   Plaques indicatrices, plaques-enseignes, plaques-adresses et plaques simil., chiffres, lettres et enseignes diverses, en métaux communs, y.c. les panneaux de signalisation routière (sauf les enseignes et plaques indicatrices lumineuses du n° 9405, </t>
  </si>
  <si>
    <t>=t("   Baguettes enrobées et fils fourrés en métaux communs, pour brasage ou soudage à la flamme (à l'excl. des fils et baguettes à âme décapante chez lesquels le métal de brasage, décapants et fondants non compris, contient &gt;= 2% en poids d'un métal préc</t>
  </si>
  <si>
    <t xml:space="preserve">=t("   Fils, baguettes, tubes, plaques, électrodes et articles simil. en métaux communs ou en carbures métalliques, enrobés ou fourrés de décapants ou de fondants, pour brasage, soudage ou dépôt de métal ou de carbures métalliques, n.d.a., ainsi que fils </t>
  </si>
  <si>
    <t xml:space="preserve">=t("   Générateurs de gaz à l'air ou de gaz à l'eau, avec ou sans leurs épurateurs; générateurs d'acétylène et générateurs simil. de gaz, par procédé à l'eau, avec ou sans leurs épurateurs (sauf fours à coke, générateurs de gaz par procédé électrolytique </t>
  </si>
  <si>
    <t>=t("   MOTEURS HORS-BORD À ALLUMAGE PAR ÉTINCELLES "MOTEURS À EXPLOSION" POUR LA PROPULSION DE BATEAUX")</t>
  </si>
  <si>
    <t>=t("   MOTEURS À PISTON ALTERNATIF OU ROTATIF, À ALLUMAGE PAR ÉTINCELLES "MOTEURS À EXPLOSION", POUR BATEAUX (SAUF MOTEURS HORS-BORD)")</t>
  </si>
  <si>
    <t>=t("   MOTEURS À PISTON ALTERNATIF À ALLUMAGE PAR ÉTINCELLES "MOTEURS À EXPLOSION", DES TYPES UTILISÉS POUR LA PROPULSION DES VÉHICULES DU CHAPITRE 87, CYLINDRÉE &gt; 50 CM³ MAIS &lt;= 250 CM³")</t>
  </si>
  <si>
    <t>=t("   MOTEURS À PISTON ALTERNATIF À ALLUMAGE PAR ÉTINCELLES "MOTEURS À EXPLOSION", DES TYPES UTILISÉS POUR LA PROPULSION DES VÉHICULES DU CHAPITRE 87, CYLINDRÉE &gt; 250 CM³ MAIS &lt;= 1000 CM³")</t>
  </si>
  <si>
    <t>=t("   MOTEURS À PISTON ALTERNATIF À ALLUMAGE PAR ÉTINCELLES "MOTEURS À EXPLOSION", DES TYPES UTILISÉS POUR LA PROPULSION DES VÉHICULES DU CHAPITRE 87, CYLINDRÉE &gt; 1000 CM³"")</t>
  </si>
  <si>
    <t>=t("   MOTEURS À PISTON ALTERNATIF OU ROTATIF, À ALLUMAGE PAR ÉTINCELLES "MOTEURS À EXPLOSION" (AUTRES QUE MOTEURS POUR AÉRONEFS, MOTEURS POUR LA PROPULSION DE BATEAUX ET AUTRES QUE LES MOTEURS À PISTON ALTERNATIF DES TYPES UTILISÉS POUR LA PROPULSION DES</t>
  </si>
  <si>
    <t>=t("   MOTEURS À PISTON, À ALLUMAGE PAR COMPRESSION "MOTEURS DIESEL OU SEMI-DIESEL", DES TYPES UTILISÉS POUR LA PROPULSION DES VÉHICULES DU CHAPITRE 87"")</t>
  </si>
  <si>
    <t>=t("   MOTEURS À PISTON, À ALLUMAGE PAR COMPRESSION "MOTEURS DIESEL OU SEMI-DIESEL" (AUTRES QUE MOTEURS DE PROPULSION POUR BATEAUX ET SAUF MOTEURS DES TYPES UTILISÉS POUR LA PROPULSION DES VÉHICULES DU CHAPITRE 87)")</t>
  </si>
  <si>
    <t>=t("   POMPES POUR LIQUIDES VOLUMÉTRIQUES ALTERNATIVES, À MOTEUR (SAUF POMPES AVEC DISPOSITIF MESUREUR OU CONÇUES POUR EN COMPORTER DU N° 8413.11 OU 8413.19, POMPES À CARBURANT, À HUILE OU À LIQUIDE DE REFROIDISSEMENT POUR MOTEURS À ALLUMAGE PAR ÉTINCELLE</t>
  </si>
  <si>
    <t>=t("   Pompes pour liquides volumétriques rotatives, à moteur (sauf pompes à dispositif mesureur ou conçues pour en comporter du n° 8413.11 ou 8413.19, sauf pompes à carburant, à huile ou à liquide de refroidissement pour moteurs à allumage par étincelles</t>
  </si>
  <si>
    <t>=t("   Pompes pour liquides centrifuges, à moteur (sauf pompes à dispositif mesureur ou conçues pour en comporter du n° 8413.11 ou 8413.19, pompes à carburant, à huile ou à liquide de refroidissement pour moteurs à allumage par étincelles ou par compressi</t>
  </si>
  <si>
    <t xml:space="preserve">=t("   Pompes pour liquides à moteur (sauf pompes à dispositif mesureur ou conçues pour en comporter du n° 8413.11 ou 8413.19, pompes à carburant, à huile ou à liquide de refroidissement pour moteurs à allumage par étincelles ou par compression, pompes à </t>
  </si>
  <si>
    <t>=t("   Pompes à air, compresseurs d'air ou d'autres gaz, hottes aspirantes à extraction ou à recyclage par filtre, à ventilateur incorporé, plus grand côté horizontal &gt; 120 cm (autres que pompes à vide, pompes à air à main ou à pied, compresseurs des type</t>
  </si>
  <si>
    <t>=t("   MACHINES ET APPAREILS POUR LE CONDITIONNEMENT DE L'AIR, FORMANT UN SEUL CORPS OU DU TYPE "SPLIT-SYSTEM" [SYSTÈMES À ÉLÉMENTS SÉPARÉS], DU TYPE MURAL OU POUR FENÊTRES"")</t>
  </si>
  <si>
    <t>=t("   Machines et appareils pour le conditionnement de l'air, avec dispositif de réfrigération et soupape d'inversion du cycle thermique [pompes à chaleur réversibles] (autres que machines et appareils du type de ceux utilisés pour le confort des personn</t>
  </si>
  <si>
    <t>=t("   Machines et appareils pour le conditionnement de l'air, avec dispositif de réfrigération mais sans soupape d'inversion du cycle thermique (autres que machines et appareils du type de ceux utilisés pour le confort des personnes dans les véhicules au</t>
  </si>
  <si>
    <t>=t("   Machines et appareils pour le conditionnement de l'air comprenant un ventilateur à moteur, sans dispositif de réfrigération mais bien des dispositifs propres à modifier la température et l'humidité de l'air (sauf machines et appareils du type de ce</t>
  </si>
  <si>
    <t>=t("   Fours industriels ou de laboratoire non-électriques, y.c. les incinérateurs (sauf fours pour le grillage, la fusion ou autres traitements thermiques de minerais, pyrite ou métaux, fours de boulangerie, de pâtisserie ou de biscuiterie et sauf étuves</t>
  </si>
  <si>
    <t>=t("   MEUBLES [COFFRES, ARMOIRES, VITRINES, COMPTOIRS ET SIMIL.] POUR LA CONSERVATION ET L'EXPOSITION DE PRODUITS, INCORPORANT UN ÉQUIPEMENT POUR LA PRODUCTION DU FROID (SAUF RÉFRIGÉRATEURS ET CONGÉLATEURS-CONSERVATEURS COMBINÉS, À PORTES EXTÉRIEURES SÉP</t>
  </si>
  <si>
    <t xml:space="preserve">=t("   Appareils et dispositifs, même chauffés électriquement, pour le traitement de matières par des opérations impliquant un changement de température telles que le chauffage, la cuisson, la torréfaction, la stérilisation, la pasteurisation, l'étuvage, </t>
  </si>
  <si>
    <t>=t("   Machines et appareils à empaqueter ou à emballer les marchandises, y.c. les machines et appareils à emballer sous film thermorétractable (à l'excl. des machines et appareils à remplir, fermer, boucher ou étiqueter les bouteilles, boîtes, sacs ou au</t>
  </si>
  <si>
    <t>=t("   Appareils et instruments de pesage, portée &lt;= 30 kg (à l'excl. des balances sensibles à un poids de 50 mg ou moins, des pèse-personnes, balances de ménage, balances à pesage continu sur transporteurs et sauf balances et bascules ensacheuses ou dose</t>
  </si>
  <si>
    <t>=t("   PISTOLETS AÉROGRAPHES ET APPAREILS SIMIL. (À L'EXCL. DES MACHINES ET APPAREILS ÉLECTRIQUES POUR LA PROJECTION À CHAUD DE MÉTAUX OU DE CARBURES MÉTALLIQUES FRITTÉS [N¦ 8515] AINSI QUE DES MACHINES ET APPAREILS À JET DE SABLE, VAPEUR, ETC.) [01/01/19</t>
  </si>
  <si>
    <t>=t("   Machines et appareils à jet de sable, à jet de vapeur et appareils à jet simil., y.c. les appareils de nettoyage à eau à moteur incorporé -appareils de nettoyage à haute pression- (à l'excl. des machines et appareils pour le nettoyage de contenants</t>
  </si>
  <si>
    <t>=t("   Parties d'extincteurs, de pistolets aérographes et appareils simil., de machines et appareils à jet de sable, à jet de vapeur et appareils à jet simil. ainsi que de machines et appareils mécaniques à projeter, disperser ou pulvériser des matières l</t>
  </si>
  <si>
    <t xml:space="preserve">=t("   Bigues; grues à câbles et blondins et autres grues (sauf ponts roulants, grues portiques, grues sur portiques, portiques de déchargement, ponts-grues, chariots-cavaliers, grues à tour, chariot-grues, grues autopropulsées et grues conçues pour être </t>
  </si>
  <si>
    <t>=t("   Machines de sondage ou de forage de la terre, des minéraux ou des minerais, autopropulsées (à l'excl. des machines montées sur wagons pour réseaux ferroviaires ou sur châssis d'automobiles ou sur camions, et sauf machines à creuser les tunnels et a</t>
  </si>
  <si>
    <t>=t("   Machines, appareils et engins agricoles, sylvicole ou horticoles pour la préparation ou le travail du sol ou pour la culture, rouleaux pour pelouses ou terrains de sport (à l'excl. des pulvérisateurs, appareils d'arrosage et poudreuses, charrues, h</t>
  </si>
  <si>
    <t xml:space="preserve">=t("   Machines et appareils pour la récolte de produits agricoles (à l'excl. des faucheuses, machines et appareils de fenaison, presses à paille ou à fourrage, y.c. les presses ramasseuses, moissonneuses-batteuses et autres machines et appareils pour le </t>
  </si>
  <si>
    <t>=t("   Presses et pressoirs, fouloirs et machines et appareils simil., pour la fabrication du vin, du cidre, des jus de fruits ou de boissons simil. (à l'excl. des machines, appareils et dispositifs pour le traitement de ces boissons, y.c. les centrifugeu</t>
  </si>
  <si>
    <t>=t("   Machines et appareils de minoterie ou pour traitement des céréales ou légumes secs (autres que les machines et appareils du type agricole, les installations de traitement thermique, essoreuses centrifuges, filtres à air ainsi que machines et appare</t>
  </si>
  <si>
    <t>=t("   Machines et appareils pour la fabrication industrielle des produits de boulangerie, pâtisserie ou biscuiterie ou pour la fabrication industrielle des pâtes alimentaires (sauf fours, appareils de séchage des pâtes alimentaires et machines à rouler l</t>
  </si>
  <si>
    <t>=t("   Machines et appareils pour la préparation ou le traitement industriels des fruits ou des légumes (sauf appareils de cuisson et autres appareils thermiques ainsi que les installations de refroidissement et de congélation, et sauf les machines à trie</t>
  </si>
  <si>
    <t xml:space="preserve">=t("   Machines et appareils pour le brochage ou la reliure, y.c. les machines à coudre les feuillets (à l'excl. des machines et appareils pour le travail de la pâte à papier, du papier et du carton, y.c. les coupeuses, des presses polyvalentes ainsi que </t>
  </si>
  <si>
    <t>=t("   Machines, appareils et matériel pour la préparation ou la fabrication des clichés, planches, cylindres ou autres organes imprimants (sauf machines-outils à travailler par enlèvement de toute matière, à poste fixe et à stations multiples, à effectue</t>
  </si>
  <si>
    <t>=t("   MACHINES ET APPAREILS SERVANT À L'IMPRESSION AU MOYEN DE PLANCHES, CYLINDRES ET AUTRES ORGANES IMPRIMANTS DU N° 8442 (À L'EXCL. DES DUPLICATEURS HECTOGRAPHIQUES OU À STENCILS, DES MACHINES À IMPRIMER LES ADRESSES ET AUTRES MACHINES DE BUREAU À IMPR</t>
  </si>
  <si>
    <t>=t("   Machines et appareils servant à l'impression au moyen de caractères d'imprimerie, clichés, planches, cylindres et autres organes imprimants du n° 8442 (à l'excl. des duplicateurs hectographiques ou à stencils, des machines à imprimer les adresses e</t>
  </si>
  <si>
    <t>=t("   Machines et appareils pour la fabrication des fils textiles, machines à préparer les fils textiles, pour utilisation sur les machines des 8446 ou 8447 (autres que les machines pour le filage -extrusion-, l'étirage, la texturation ou le tranchage de</t>
  </si>
  <si>
    <t>=t("   Machines et appareils pour l'apprêt et le finissage, l'enduction ou l'imprégnation des fils, tissus ou autres ouvrages en matières textiles, et machines pour le revêtement des tissus ou autres supports utilisés pour la fabrication de couvre-parquet</t>
  </si>
  <si>
    <t>=t("   Parties de machines et appareils pour le lavage, nettoyage, essorage, séchage, repassage, pressage, blanchiment, teinture, apprêt, finissage, enduction ou imprégnation de fils, tissus ou autres ouvrages en matières textiles, ou pour le revêtement d</t>
  </si>
  <si>
    <t>=t("   Machines-outils travaillant par enlèvement de toute matière et opérant par procédés électrochimiques, par faisceaux d'électrons, par faisceaux ioniques ou par jet de plasma (à l'excl. des appareils à braser et à souder, des appareils pour essais de</t>
  </si>
  <si>
    <t>=t("   TOURS, Y.C. LES CENTRES DE TOURNAGE, TRAVAILLANT PAR ENLÈVEMENT DE MÉTAL (À L'EXCL. DES TOURS HORIZONTAUX ET DES TOURS À COMMANDE NUMÉRIQUE) [01/01/1988-31/12/1994: TOURS TRAVAILLANT PAR ENLEVEMENT DE METAL (AUTRES QU'A COMMANDE NUMÉRIQUE ET AUTRES</t>
  </si>
  <si>
    <t>=t("   MACHINES À PERCER, POUR LE TRAVAIL DES MÉTAUX (À L'EXCL. DES MACHINES À COMMANDE NUMÉRIQUE, DES UNITÉS D'USINAGE À GLISSIÈRES ET DES MACHINES MUES À LA MAIN) [01/01/1988-31/12/1994: MACHINES A PERCER LES METAUX PAR ENLEVEMENT DE MATIÈRES (AUTRES QU</t>
  </si>
  <si>
    <t>=t("   Machines à ébarber, meuler, polir ou à faire d'autres opérations de finissage, pour le travail des métaux (autres que les machines à rectifier dont le positionnement dans un des axes peut être réglé à au moins 0,01 mm près, autres qu'à commande num</t>
  </si>
  <si>
    <t xml:space="preserve">=t("   Machines-outils pour le travail des métaux, des carbures métalliques frittés ou des cermets, sans enlèvement de matière (sauf machines à forger, à rouler, à cintrer, dresser ou planer; machines à cisailler, à poinçonner ou à gruger; presses; bancs </t>
  </si>
  <si>
    <t>=t("   Machines-outils pour le travail de la pierre, des produits céramiques, du béton, de l'amiante-ciment ou de matières minérales simil., ou pour le travail à froid du verre (autres qu'à scier, à meuler ou à polir et autres que les machines pour emploi</t>
  </si>
  <si>
    <t>=t("   Machines à dégauchir ou à raboter; machines à fraiser ou à moulurer, pour le travail du bois, des matières plastiques dures, etc. (autres que les machines pour emploi à la main et les machines pouvant effectuer différents types d'opérations d'usina</t>
  </si>
  <si>
    <t>=t("   Machines à percer ou à mortaiser, pour le travail du bois, des matières plastiques dures, etc. (autres que machines pour emploi à la main et les machines pouvant effectuer différents types d'opération d'usinage sans changement d'outils entre les op</t>
  </si>
  <si>
    <t xml:space="preserve">=t("   Machines-outils pour le travail du bois, des matières plastiques dures, etc. (sauf outillage à main, machines pouvant effectuer différents types d'opérations d'usinage sans changement d'outils entre les opérations; machines à scier, à dégauchir ou </t>
  </si>
  <si>
    <t>=t("   Machines à écrire automatiques (à l'excl. des machines pour le traitement des textes, des machines automatiques de traitement de l'information et de leurs unités du n° 8471, ainsi que des imprimantes au laser, des imprimantes thermiques et des impr</t>
  </si>
  <si>
    <t>=t("   Calculatrices électroniques pouvant fonctionner sans source d'énergie électrique extérieure et machines de poche [dimensions &lt;= 170 mm x 100 mm x 45 mm] comportant une fonction de calcul permettant d'enregistrer, de reproduire et d'afficher des inf</t>
  </si>
  <si>
    <t>=t("   Machines automatiques de traitement de l'information numériques, comportant, sous une même enveloppe, au moins une unité centrale de traitement et, qu'elles soient ou non combinées, une unité d'entrée et une unité de sortie (sauf portatives d'un po</t>
  </si>
  <si>
    <t>=t("   Machines automatiques de traitement de l'information numériques se présentant sous forme de systèmes [comportant au moins une unité centrale de traitement, une unité d'entrée et une unité de sortie] (sauf portatives d'un poids &lt;= 10 kg et à l'excl.</t>
  </si>
  <si>
    <t>=t("   Unités de traitement numériques pour machines automatiques de traitement de l'information, pouvant comporter, sous une même enveloppe, un ou deux des types d'unités suivants: unité de mémoire, unité d'entrée et unité de sortie (autres que celles du</t>
  </si>
  <si>
    <t>=t("   Machines à imprimer les adresses ou à estamper les plaques d'adresses (sauf machines à écrire automatiques, machines automatiques pour le traitement de l'information et leurs unités et sauf imprimantes à laser, imprimantes thermiques ou imprimantes</t>
  </si>
  <si>
    <t>=t("   Machines à agglomérer, former ou mouler les combustibles minéraux solides, les pâtes céramiques, le ciment, le plâtre ou autres matières minérales en poudre ou pâte; machines à former les moules de fonderie en sable (sauf pour mouler ou couler le v</t>
  </si>
  <si>
    <t>=t("   MACHINES ET APPAREILS POUR L'EXTRACTION OU LA PRÉPARATION DES HUILES OU GRAISSES VÉGÉTALES FIXES OU ANIMALES (À L'EXCL. DES CENTRIFUGEUSES, DES APPAREILS POUR LA FILTRATION ET DES APPAREILS DE CHAUFFAGE) [01/01/1988-31/12/1994: MACHINES ET APPAREIL</t>
  </si>
  <si>
    <t>=t("   Machines et appareils pour le traitement des métaux, y.c. les bobineuses pour enroulements électriques, n.d.a. (à l'excl. des robots industriels, des fours, appareils de séchage, pistolets aérographes et appareils simil., appareils de nettoyage à h</t>
  </si>
  <si>
    <t>=t("   Moules pour les métaux ou les carbures métalliques (autres qu'en graphite ou autres formes de carbone, qu'en produits céramiques ou en verre, sauf flans, matrices et moules à fondre pour machines à fondre en ligne du n° 8442, moules pour le moulage</t>
  </si>
  <si>
    <t>=t("   MOULES POUR LE CAOUTCHOUC OU LES MATIÈRES PLASTIQUES (À L'EXCL. DES ARTICLES POUR LE MOULAGE PAR INJECTION OU PAR COMPRESSION) [01/01/1988-31/12/1994: MOULES POUR LE CAOUTCHOUC OU LES MATIÈRES PLASTIQUES, POUR MOULAGE AUTRE QUE PAR INJECTION OU COM</t>
  </si>
  <si>
    <t>=t("   Roulements à galets et autres roulements, y.c. les roulements combinés (à l'excl. des roulements à billes, roulements à rouleaux coniques, y.c. les assemblages de cônes et rouleaux coniques, roulements à rouleaux en forme de tonneau, roulements à a</t>
  </si>
  <si>
    <t>=t("   Engrenages et roues de friction de machines (à l'excl. des  roues dentées et autres organes élémentaires de transmission présentés séparément); broches filetées à billes ou à rouleaux; réducteurs, multiplicateurs et variateurs de vitesse, y. c. les</t>
  </si>
  <si>
    <t>=t("   Groupes électrogènes à moteur à piston à allumage par compression "moteurs diesel ou semi-diesel", puissance &lt;= 75 kVA")</t>
  </si>
  <si>
    <t>=t("   GROUPES ÉLECTROGÈNES À MOTEUR À PISTON À ALLUMAGE PAR COMPRESSION "MOTEUR DIESEL OU SEMI-DIESEL", PUISSANCE &gt; 375 KVA")</t>
  </si>
  <si>
    <t>=t("   GROUPES ÉLECTROGÈNES À MOTEUR À PISTON À ALLUMAGE PAR ÉTINCELLES "MOTEUR À EXPLOSION"")</t>
  </si>
  <si>
    <t>=t("   Appareils électromécaniques à moteur électrique incorporé, à usage domestique (autres qu'aspirateurs de poussières, des aspirateurs de matières sèches et de matières liquides, cireuses à parquets, broyeurs pour déchets de cuisine, broyeurs et mélan</t>
  </si>
  <si>
    <t>=t("   Appareils et dispositifs électriques d'allumage pour moteurs à allumage par étincelles ou par compression, y.c. conjoncteurs-disjoncteurs (autres que génératrices, démarreurs, distributeurs, bobines d'allumage, magnétos, volants magnétiques et boug</t>
  </si>
  <si>
    <t>=t("   APPAREILS ÉLECTRIQUES D'ÉCLAIRAGE OU DE SIGNALISATION VISUELLE DES TYPES UTILISÉS POUR LES BICYCLETTES (À L'EXCL. DES LAMPES DU N° 8539) [01/01/1988-31/12/1994: APPAREILS ÉLECTRIQUES D'ECLAIRAGE OU DE SIGNALISATION VISUELLE POUR BICYCLETTES, (A L'E</t>
  </si>
  <si>
    <t>=t("   Machines et appareils électriques pour le soudage, opérant par laser ou autres faisceaux de lumière ou de photons, par ultrasons, par faisceaux d'électrons, par impulsions magnétiques; machines et appareils électriques pour la projection à chaud de</t>
  </si>
  <si>
    <t>=t("   Appareils électrothermiques, pour usages domestiques (autres que pour la coiffure ou pour sécher les mains, pour le chauffage des locaux, du sol ou pour usages simil.; autres que chauffe-eau, thermoplongeurs, fers à repasser, fours à micro-ondes, f</t>
  </si>
  <si>
    <t>=t("   ÉMETTEURS-RÉCEPTEURS POUR LA TÉLÉCOMMUNICATION PAR COURANT PORTEUR OU POUR LA TÉLÉCOMMUNICATION NUMÉRIQUE, POUR LA TÉLÉPHONIE OU LA TÉLÉGRAPHIE PAR FIL (À L'EXCL. DES POSTES TÉLÉPHONIQUES D'USAGERS, DES VISIOPHONES, DES TÉLÉCOPIEURS, DES TÉLÉSCRIPT</t>
  </si>
  <si>
    <t>=t("   Appareils électriques pour la téléphonie ou la télégraphie par fil (autres que postes téléphoniques d'usagers, visiophones, télécopieurs, téléscripteurs, appareils de commutation et émetteur-récepteur pour la télécommunication par courant porteur o</t>
  </si>
  <si>
    <t xml:space="preserve">=t("   Parties d'appareils électriques pour la téléphonie ou la télégraphie par fil, y.c. les postes téléphoniques d'usagers par fil à combinés sans fil et les appareils pour la télécommunication par courant porteur ou pour la télécommunication numérique </t>
  </si>
  <si>
    <t xml:space="preserve">=t("   Casques d'écoute et écouteurs électro-acoustiques, même combinés avec un microphone, et ensembles ou assortiments constitués par un microphone et un ou plusieurs haut-parleurs (autres qu'appareils téléphoniques, prothèses auditives et casques avec </t>
  </si>
  <si>
    <t>=t("   Lecteurs de cassettes "uniquement pour la reproduction du son" (autres que de poche et machines à dicter)")</t>
  </si>
  <si>
    <t>=t("   APPAREILS D'ENREGISTREMENT OU DE REPRODUCTION VIDÉOPHONIQUES À BANDES MAGNÉTIQUES, INCORPORANT ÉGALEMENT UN RÉCEPTEUR DE SIGNAUX VIDÉOPHONIQUES (À L'EXCL. DES CAMÉSCOPES) [01/01/1988-31/12/1991: APPAREILS D'ENREGISTREMENT OU DE REPRODUCTION VIDEOPH</t>
  </si>
  <si>
    <t>=t("   APPAREILS D'ENREGISTREMENT OU DE REPRODUCTION VIDÉOPHONIQUES, INCORPORANT ÉGALEMENT UN RÉCEPTEUR DE SIGNAUX VIDÉOPHONIQUES (AUTRES QU'À BANDES MAGNÉTIQUES ET À L'EXCL. DES CAMÉSCOPES) [01/01/1988-31/12/1991: APPAREILS D'ENREGISTREMENT OU DE REPRODU</t>
  </si>
  <si>
    <t>=t("   Parties et accessoires reconnaissables comme étant exclusivement ou principalement destinés aux appareils d'enregistrement et de reproduction du son et aux appareils d'enregistrement et de reproduction vidéophoniques (à l'excl. des lecteurs de micr</t>
  </si>
  <si>
    <t>=t("   Supports d'enregistrement pour la reproduction des phénomènes autres que le son ou l'image (à l'excl. des disques pour systèmes de lecture par faisceau laser, des bandes magnétiques et des cartes munies d'une piste magnétique ainsi que des produits</t>
  </si>
  <si>
    <t>=t("   Supports enregistrés pour la reproduction du son ou de l'image, y.c. les matrices et moules galvaniques pour la fabrication des disques (à l'excl. des disques pour électrophones, des disques pour systèmes de lecture par faisceau laser, des bandes m</t>
  </si>
  <si>
    <t>=t("   Récepteurs de radiodiffusion ne pouvant fonctionner qu'avec une source d'énergie extérieure, pour véhicules automobiles, y.c. les appareils recevant également la radiotéléphonie ou la radiotélégraphie, non combinés à un appareil d'enregistrement et</t>
  </si>
  <si>
    <t>=t("   Récepteurs de radiodiffusion, y.c. les appareils recevant également la radiotéléphonie ou la radiotélégraphie, ne pouvant fonctionner qu'avec une source d'énergie extérieure, combinés à un appareil d'enregistrement ou de reproduction du son (autres</t>
  </si>
  <si>
    <t>=t("   Récepteurs de radiodiffusion, y.c. les appareils recevant également la radiotéléphonie ou la radiotélégraphie, ne pouvant fonctionner qu'avec une source d'énergie extérieure, combinés ni à un appareil d'enregistrement ou de reproduction du son ni à</t>
  </si>
  <si>
    <t>=t("   RÉCEPTEURS DE TÉLÉVISION EN NOIR ET BLANC OU EN AUTRES MONOCHROMES (Y C. LES MONITEURS VIDÉO ET LES PROJECTEURS VIDÉO), INCORPORANT EGALEMENT UN APPAREIL RÉCEPTEUR DE RADIODIFFUSION OU A UN APPAREIL D'ENREGISTREMENT OU DE REPRODUCTION DU SON OU DES</t>
  </si>
  <si>
    <t>=t("   PARTIES RECONNAISSABLES COMME ÉTANT EXCLUSIVEMENT OU PRINCIPALEMENT DESTINÉES AUX APPAREILS ÉMETTEURS-RÉCEPTEURS POUR LA RADIODIFFUSION OU LA TÉLÉVISION, AUX CAMÉRAS DE TÉLÉVISION, AUX APPAREILS PHOTOGRAPHIQUES NUMÉRIQUES, AUX CAMÉSCOPES ET AUX APP</t>
  </si>
  <si>
    <t>=t("   Appareils électriques de signalisation acoustique ou visuelle (autres que panneaux indicateurs avec dispositifs à cristaux liquides ou à diodes émettrices de lumière, avertisseurs électriques pour la protection contre le vol ou l'incendie et appare</t>
  </si>
  <si>
    <t>=t("   Appareils électriques pour la coupure, le sectionnement, la protection, le branchement, le raccordement ou la connexion des circuits électriques, pour une tension &gt; 1.000 V (autres que fusibles et coupe-circuit, disjoncteurs, sectionneurs, interrup</t>
  </si>
  <si>
    <t xml:space="preserve">=t("   Appareillage pour le branchement, le raccordement ou la connexion des circuits électriques, pour une tension &lt;= 1.000 V (sauf fusibles et coupe-circuit, disjoncteurs et autres appareils pour la protection des circuits électriques, relais et autres </t>
  </si>
  <si>
    <t>=t("   Parties reconnaissables comme étant exclusivement ou principalement destinées aux appareils du n° 8535, 8536 ou 8537, n.d.a. (à l'excl. des tableaux, panneaux, consoles, pupitres, armoires et autres supports pour articles du n° 8537, dépourvus de l</t>
  </si>
  <si>
    <t>=t("   Lampes, tubes et valves électroniques (autres que tubes de réception et d'amplification, tubes pour hyperfréquences, tubes à cathode et à photocathode, tubes de visualisation des données graphiques en noir et blanc ou en autres monochromes et en co</t>
  </si>
  <si>
    <t>=t("   VÉHICULES POUR LE TRANSPORT DE &gt;= 10 PERSONNES, CHAUFFEUR INCLUS, À MOTEUR À PISTON À ALLUMAGE PAR COMPRESSION "MOTEUR DIESEL OU SEMI-DIESEL"")</t>
  </si>
  <si>
    <t>=t("   VÉHICULES POUR LE TRANSPORT DE &gt;= 10 PERSONNES, CHAUFFEUR INCLUS, AUTRES QU'À MOTEUR À PISTON À ALLUMAGE PAR COMPRESSION "MOTEUR DIESEL OU SEMI-DIESEL"")</t>
  </si>
  <si>
    <t>=t("   VOITURES DE TOURISME ET AUTRES VÉHICULES PRINCIPALEMENT CONÇUS POUR LE TRANSPORT DE PERSONNES, Y.C. LES VOITURES DU TYPE 'BREAK' ET LES VOITURES DE COURSE, À MOTEUR À PISTON ALTERNATIF À ALLUMAGE PAR ÉTINCELLES "MOTEUR À EXPLOSION", CYLINDRÉE &lt;= 1.</t>
  </si>
  <si>
    <t>=t("   VOITURES DE TOURISME ET AUTRES VÉHICULES PRINCIPALEMENT CONÇUS POUR LE TRANSPORT DE PERSONNES, Y.C. LES VOITURES DU TYPE 'BREAK' ET LES VOITURES DE COURSE, À MOTEUR À PISTON ALTERNATIF À ALLUMAGE PAR ÉTINCELLES "MOTEUR À EXPLOSION", CYLINDRÉE &gt; 1.0</t>
  </si>
  <si>
    <t>=t("   VOITURES DE TOURISME ET AUTRES VÉHICULES PRINCIPALEMENT CONÇUS POUR LE TRANSPORT DE PERSONNES, Y.C. LES VOITURES DU TYPE 'BREAK' ET LES VOITURES DE COURSE, À MOTEUR À PISTON ALTERNATIF À ALLUMAGE PAR ÉTINCELLES "MOTEUR À EXPLOSION", CYLINDRÉE &gt; 1.5</t>
  </si>
  <si>
    <t>=t("   VOITURES DE TOURISME ET AUTRES VÉHICULES PRINCIPALEMENT CONÇUS POUR LE TRANSPORT DE PERSONNES, Y.C. LES VOITURES DU TYPE 'BREAK' ET LES VOITURES DE COURSE, À MOTEUR À PISTON ALTERNATIF À ALLUMAGE PAR ÉTINCELLES "MOTEUR À EXPLOSION", CYLINDRÉE &gt; 3.0</t>
  </si>
  <si>
    <t>=t("   VOITURES DE TOURISME ET AUTRES VÉHICULES PRINCIPALEMENT CONÇUS POUR LE TRANSPORT DE PERSONNES, Y.C. LES VOITURES DU TYPE 'BREAK' ET LES VOITURES DE COURSE, À MOTEUR À PISTON À ALLUMAGE PAR COMPRESSION "MOTEUR DIESEL OU SEMI-DIESEL", CYLINDRÉE &lt;= 1.</t>
  </si>
  <si>
    <t>=t("   VOITURES DE TOURISME ET AUTRES VÉHICULES PRINCIPALEMENT CONÇUS POUR LE TRANSPORT DE PERSONNES, Y.C. LES VOITURES DU TYPE 'BREAK' ET LES VOITURES DE COURSE, À MOTEUR À PISTON À ALLUMAGE PAR COMPRESSION "MOTEUR DIESEL OU SEMI-DIESEL", CYLINDRÉE &gt; 1.5</t>
  </si>
  <si>
    <t>=t("   VOITURES DE TOURISME ET AUTRES VÉHICULES PRINCIPALEMENT CONÇUS POUR LE TRANSPORT DE PERSONNES, Y.C. LES VOITURES DU TYPE 'BREAK' ET LES VOITURES DE COURSE, À MOTEUR À PISTON À ALLUMAGE PAR COMPRESSION "MOTEUR DIESEL OU SEMI-DIESEL", CYLINDRÉE &gt; 250</t>
  </si>
  <si>
    <t>=t("   VÉHICULES POUR LE TRANSPORT DE MARCHANDISES, À MOTEUR À PISTON À ALLUMAGE PAR COMPRESSION "MOTEUR DIESEL OU SEMI-DIESEL", POIDS EN CHARGE MAXIMAL &lt;= 5 T (SAUF TOMBEREAUX AUTOMOTEURS DU N° 8704 ET VÉHICULES AUTOMOBILES À USAGES SPÉCIAUX DU N° 8705)"</t>
  </si>
  <si>
    <t>=t("   VÉHICULES POUR LE TRANSPORT DE MARCHANDISES, À MOTEUR À PISTON À ALLUMAGE PAR COMPRESSION "MOTEUR DIESEL OU SEMI-DIESEL", POIDS EN CHARGE MAXIMAL &gt; 5 T MAIS &lt;= 20 T (SAUF TOMBEREAUX AUTOMOTEURS DU N° 8704.10, VÉHICULES AUTOMOBILES À USAGES SPÉCIAUX</t>
  </si>
  <si>
    <t>=t("   VÉHICULES POUR LE TRANSPORT DE MARCHANDISES, À MOTEUR À PISTON À ALLUMAGE PAR COMPRESSION "MOTEUR DIESEL OU SEMI-DIESEL", POIDS EN CHARGE MAXIMAL &gt; 20 T (SAUF TOMBEREAUX AUTOMOTEURS DU N° 8704.10, VÉHICULES AUTOMOBILES À USAGES SPÉCIAUX DU N° 8705)</t>
  </si>
  <si>
    <t>=t("   VÉHICULES POUR LE TRANSPORT DE MARCHANDISES, À MOTEUR À PISTON À ALLUMAGE PAR ÉTINCELLES "MOTEUR À EXPLOSION", POIDS EN CHARGE MAXIMAL &lt;= 5 T (SAUF TOMBEREAUX AUTOMOTEURS DU N° 8704.10, VÉHICULES AUTOMOBILES À USAGES SPÉCIAUX DU N° 8705)")</t>
  </si>
  <si>
    <t>=t("   VÉHICULES POUR LE TRANSPORT DE MARCHANDISES, À MOTEUR À PISTON À ALLUMAGE PAR ÉTINCELLES "MOTEUR À EXPLOSION", POIDS EN CHARGE MAXIMAL &gt; 5 T (SAUF TOMBEREAUX AUTOMOTEURS DU N° 8704.10, VÉHICULES AUTOMOBILES À USAGES SPÉCIAUX DU N° 8705)")</t>
  </si>
  <si>
    <t>=t("   Véhicules automobiles à usages spéciaux (autres que ceux principalement conçus pour le transport de personnes ou de marchandises et sauf camions-béonnières, voitures de lutte contre l'incendie, derricks automobiles pour le sondage ou le forage, cam</t>
  </si>
  <si>
    <t xml:space="preserve">=t("   CHÂSSIS DE TRACTEURS, VÉHICULES POUR LE TRANSPORT DE &gt;= 10 PERSONNES, CHAUFFEUR INCLUS, VOITURES DE TOURISME, VÉHICULES POUR LE TRANSPORT DE MARCHANDISES ET VÉHICULES À USAGES SPÉCIAUX DU N° 8701 À 8705, ÉQUIPÉS DE LEUR MOTEUR (SAUF AVEC MOTEUR ET </t>
  </si>
  <si>
    <t>=t("   PARTIES ET ACCESSOIRES DE CARROSSERIE DE TRACTEURS, VÉHICULES POUR LE TRANSPORT DE &gt;= 10 PERSONNES, CHAUFFEUR INCLUS, VOITURES DE TOURISME, VÉHICULES POUR LE TRANSPORT DE MARCHANDISES ET VÉHICULES À USAGES SPÉCIAUX (SAUF PARE-CHOCS ET LEURS PARTIES</t>
  </si>
  <si>
    <t>=t("   PONTS AVEC DIFFÉRENTIEL, MÊME POURVUS D'AUTRES ORGANES DE TRANSMISSION, ET ESSIEUX PORTEURS AINSI QUE LEURS PARTIES, POUR TRACTEURS, VÉHICULES POUR LE TRANSPORT DE &gt;= 10 PERSONNES, CHAUFFEUR INCLUS, VOITURES DE TOURISME, VÉHICULES POUR LE TRANSPORT</t>
  </si>
  <si>
    <t xml:space="preserve">=t("   SYSTÈMES DE SUSPENSION ET LEURS PARTIES, Y.C. LES AMORTISSEURS DE SUSPENSION, POUR TRACTEURS, VÉHICULES POUR LE TRANSPORT DE &gt;= 10 PERSONNES, CHAUFFEUR INCLUS, VOITURES DE TOURISME, VÉHICULES POUR LE TRANSPORT DE MARCHANDISES ET VÉHICULES À USAGES </t>
  </si>
  <si>
    <t xml:space="preserve">=t("   VOLANTS, COLONNES ET BOÎTIERS DE DIRECTION AINSI QUE LEURS PARTIES, POUR TRACTEURS, VÉHICULES POUR LE TRANSPORT DE &gt;= 10 PERSONNES, CHAUFFEUR INCLUS, VOITURES DE TOURISME, VÉHICULES POUR LE TRANSPORT DE MARCHANDISES ET VÉHICULES À USAGES SPÉCIAUX, </t>
  </si>
  <si>
    <t>=t("   Bateaux-phares, bateaux-pompes, pontons-grues et autres bateaux pour lesquels la navigation n'est qu'accessoire par rapport à la fonction principale (sauf bateaux-dragueurs, plates-formes de forage ou d'exploitation, flottantes ou submersibles, bat</t>
  </si>
  <si>
    <t>=t("   Appareils photographiques, pour pellicules en rouleaux d'une largeur &gt; 35 mm ou pour films plans (autres que les appareils photographiques à développement et tirage instantanés et les appareils photographiques pour usages spéciaux du n° 9006.10, 90</t>
  </si>
  <si>
    <t>=t("   Appareils et matériel pour le développement automatique des pellicules photographiques, des films cinématographiques ou du papier photographique en rouleaux ou pour l'impression automatique des pellicules développées sur des rouleaux de papier phot</t>
  </si>
  <si>
    <t>=t("   Microscopes optiques (à l'excl. de ceux destinés à la photomicrographie, la cinéphotomicrographie ou la microprojection, des microscopes stéréoscopiques, des microscopes binoculaires pour l'ophtalmologie ainsi que des instruments, appareils et mach</t>
  </si>
  <si>
    <t>=t("   Instruments et appareils de géodésie, de topographie, d'arpentage, de nivellement, d'hydrographie, de météorologie, d'hydrologie, de géophysique ou d'océanographie (à l'excl. des boussoles, des télémètres, des théodolites, des tachéomètres, des niv</t>
  </si>
  <si>
    <t>=t("   Appareils d'électrodiagnostic, y.c. les appareils d'exploration fonctionnelle ou de surveillance de paramètres physiologiques (sauf électrocardiographes, appareils de diagnostic par balayage ultrasonique [scanners], appareils de diagnostic par visu</t>
  </si>
  <si>
    <t>=t("   Appareils à tenir à la main, à porter sur la personne ou à implanter dans l'organisme, afin de compenser une déficience ou une infirmité (à l'excl. des articles et appareils de prothèse ainsi que des appareils complets pour faciliter l'audition aux</t>
  </si>
  <si>
    <t>=t("   Dispositifs générateurs de rayons X, autres que tubes à rayons X, générateurs de tension, pupitres de commande, écrans, tables, fauteuils et supports simil. d'examen ou de traitement, ainsi que tous les parties et accessoires des appareils du n° 90</t>
  </si>
  <si>
    <t>=t("   Instruments, appareils et modèles conçus pour la démonstration, p.ex. dans l'enseignement ou les expositions, non susceptibles d'autres emplois (à l'excl. des appareils au sol d'entraînement au vol du n° 8805, des spécimens pour collections du n° 9</t>
  </si>
  <si>
    <t>=t("   DENSIMÈTRES, ARÉOMÈTRES, PÈSE-LIQUIDES ET INSTRUMENTS FLOTTANTS SIMIL., BAROMÈTRES, HYGROMÈTRES ET PSYCHROMÈTRES, MÊME COMBINÉS ENTRE EUX OU COMBINÉS À DES THERMOMÈTRES [01/01/1988-31/12/1991: DENSIMÈTRES, ARÉOMÈTRES, PESE-LIQUIDES ET SIMILAIRES, P</t>
  </si>
  <si>
    <t>=t("   Microtomes; parties et accessoires des instruments et appareils pour analyses physiques ou chimiques, p.ex. polarimètres, réfractomètres, spectromètres, des instruments et appareils pour essais de viscosité, de porosité, de dilatation, de tension s</t>
  </si>
  <si>
    <t>=t("   Instruments et appareils pour la régulation ou le contrôle automatiques (à l'excl. des instruments et appareils, hydrauliques ou pneumatiques, pour la régulation ou le contrôle automatiques, des manostats [pressostats], des thermostats et des artic</t>
  </si>
  <si>
    <t>=t("   Appareils d'horlogerie fonctionnant électriquement (autres que montres-bracelets, montres de poche et montres simil. du n° 9101 ou 9102, et réveils ou pendulettes à mouvement de montre du n° 9103, montres de tableaux de bord et montres simil. du n°</t>
  </si>
  <si>
    <t>=t("   Appareils d'horlogerie ne fonctionnant pas électriquement (autres que montres-bracelets, montres de poche et montres simil. du n° 9101 ou 9102, réveils ou pendulettes à mouvement de montre du n° 9103, montres de tableaux de bord et montres simil. d</t>
  </si>
  <si>
    <t>=t("   PARTIES ET ACCESSOIRES D'INSTRUMENTS DE MUSIQUE "P.EX. MÉCANISMES DE BOÎTES À MUSIQUE, CARTES, DISQUES ET ROULEAUX POUR APPAREILS À JOUER MÉCANIQUEMENT", N.D.A.; MÉTRONOMES ET DIAPASONS DE TOUS TYPES (À L'EXCL. DES CORDES HARMONIQUES ET DES PARTIES</t>
  </si>
  <si>
    <t>=t("   Armes de guerre, y.c. les pistolets-mitrailleurs (à l'excl. des pièces d'artillerie, des tubes lance-missiles, des lance-flammes, des lance-grenades, des lance-torpilles et lanceurs similaires, des  revolvers et pistolets du n° 9302 et d'armes blan</t>
  </si>
  <si>
    <t>=t("   Articles de literie et simil., garnis de plumes, rembourrés, garnis de matières de toutes sortes, y.c. caoutchouc alvéolaire ou matières plastiques alvéolaires (sauf sommiers, matelas, sacs de couchage, matelas à eau, matelas pneumatiques et oreill</t>
  </si>
  <si>
    <t>=t("   JEUX AVEC ÉCRAN, FLIPPERS ET AUTRES AUTRES JEUX FONCTIONNANT PAR L'INTRODUCTION D'UNE PIÈCE DE MONNAIE, D'UN BILLET DE BANQUE, D'UNE CARTE BANCAIRE, D'UN JETON OU PAR D'AUTRES MOYENS DE PAIEMENT (À L'EXCL. DES JEUX DE QUILLES AUTOMATIQUES [P.EX. BO</t>
  </si>
  <si>
    <t>=t("   Tables spéciales pour jeux de casino, jeux de quilles automatiques [p.ex. bowlings] et autres jeux de société, y.c. les jeux à moteur ou à mouvement (sauf jeux fonctionnant par l'introduction d'une pièce de monnaie, d'un billet de banque, d'un jeto</t>
  </si>
  <si>
    <t>=t("   Manèges, balançoires, stands de tir et autres attractions foraines; théâtres ambulants (sauf cirques ambulants et ménageries ambulantes, installations foraines pour la vente de marchandises, y.c. de certaines marchandises, articles offerts en prix,</t>
  </si>
  <si>
    <t>=t("   Matières végétales ou minérales à tailler, travaillées, et ouvrages en ces matières, n.d.a.; ouvrages moulés ou taillés en cire, en paraffine, en stéarine, en gommes ou résines naturelles, en pâtes à modeler, et autres ouvrages moulés ou taillés, n</t>
  </si>
  <si>
    <t>Source: Copyright © 1958 - 2003 European Community, Eurostat. All Rights Reserved. Comext: k0000018.txt  Extracted: 07/10/2014</t>
  </si>
  <si>
    <t>tant un intérêt historique, archéologique, paléontologique, ethnographique ou numismatique")</t>
  </si>
  <si>
    <t>s sur ces mannequins)")</t>
  </si>
  <si>
    <t>oulés ou taillés, n.d.a.;")</t>
  </si>
  <si>
    <t>Table generation of Extraction from Plan "k0000016,mtx"</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</si>
</sst>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
    <xf numFmtId="0" fontId="0" fillId="0" borderId="0" xfId="0"/>
    <xf numFmtId="0" fontId="16" fillId="0" borderId="0" xfId="0" applyFont="1"/>
  </cellXfs>
  <cellStyles count="42">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Commentaire" xfId="15" builtinId="10" customBuiltin="1"/>
    <cellStyle name="Entrée" xfId="9" builtinId="20" customBuiltin="1"/>
    <cellStyle name="Insatisfaisant" xfId="7" builtinId="27" customBuiltin="1"/>
    <cellStyle name="Neutre" xfId="8" builtinId="28" customBuiltin="1"/>
    <cellStyle name="Normal" xfId="0" builtinId="0"/>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060"/>
  <sheetViews>
    <sheetView tabSelected="1" topLeftCell="A9" workbookViewId="0">
      <selection activeCell="A18" sqref="A16:XFD18"/>
    </sheetView>
  </sheetViews>
  <sheetFormatPr baseColWidth="10" defaultRowHeight="15" x14ac:dyDescent="0.25"/>
  <sheetData>
    <row r="1" spans="1:4" x14ac:dyDescent="0.25">
      <c r="C1" t="s">
        <v>517</v>
      </c>
    </row>
    <row r="3" spans="1:4" x14ac:dyDescent="0.25">
      <c r="A3" t="s">
        <v>0</v>
      </c>
      <c r="B3" t="str">
        <f>T("07/10/2014")</f>
        <v>07/10/2014</v>
      </c>
    </row>
    <row r="4" spans="1:4" x14ac:dyDescent="0.25">
      <c r="A4" t="s">
        <v>1</v>
      </c>
      <c r="B4" t="str">
        <f>T("00")</f>
        <v>00</v>
      </c>
    </row>
    <row r="5" spans="1:4" x14ac:dyDescent="0.25">
      <c r="A5" t="s">
        <v>2</v>
      </c>
      <c r="B5" t="str">
        <f>T("2012")</f>
        <v>2012</v>
      </c>
    </row>
    <row r="6" spans="1:4" x14ac:dyDescent="0.25">
      <c r="A6" t="s">
        <v>3</v>
      </c>
      <c r="B6" t="str">
        <f>T("ZZ_7Bureaux")</f>
        <v>ZZ_7Bureaux</v>
      </c>
    </row>
    <row r="7" spans="1:4" x14ac:dyDescent="0.25">
      <c r="A7" t="s">
        <v>4</v>
      </c>
      <c r="B7" t="str">
        <f>T("CS")</f>
        <v>CS</v>
      </c>
    </row>
    <row r="8" spans="1:4" x14ac:dyDescent="0.25">
      <c r="A8" t="s">
        <v>5</v>
      </c>
      <c r="B8" t="str">
        <f>T("I")</f>
        <v>I</v>
      </c>
    </row>
    <row r="9" spans="1:4" x14ac:dyDescent="0.25">
      <c r="A9" t="s">
        <v>6</v>
      </c>
      <c r="B9" t="str">
        <f>T("ZZZ_Monde")</f>
        <v>ZZZ_Monde</v>
      </c>
    </row>
    <row r="10" spans="1:4" x14ac:dyDescent="0.25">
      <c r="A10" t="s">
        <v>7</v>
      </c>
      <c r="B10" t="s">
        <v>8</v>
      </c>
    </row>
    <row r="11" spans="1:4" x14ac:dyDescent="0.25">
      <c r="A11" t="s">
        <v>9</v>
      </c>
      <c r="B11" t="s">
        <v>10</v>
      </c>
    </row>
    <row r="12" spans="1:4" x14ac:dyDescent="0.25">
      <c r="A12" t="s">
        <v>11</v>
      </c>
      <c r="B12" t="s">
        <v>12</v>
      </c>
    </row>
    <row r="14" spans="1:4" x14ac:dyDescent="0.25">
      <c r="C14" t="str">
        <f>T("Valstat")</f>
        <v>Valstat</v>
      </c>
      <c r="D14" t="str">
        <f>T("Poidsnet")</f>
        <v>Poidsnet</v>
      </c>
    </row>
    <row r="15" spans="1:4" x14ac:dyDescent="0.25">
      <c r="C15" t="str">
        <f>T("Valstat")</f>
        <v>Valstat</v>
      </c>
      <c r="D15" t="str">
        <f>T("Poidsnet")</f>
        <v>Poidsnet</v>
      </c>
    </row>
    <row r="16" spans="1:4" x14ac:dyDescent="0.25">
      <c r="A16" t="str">
        <f>T("AE")</f>
        <v>AE</v>
      </c>
      <c r="B16" t="str">
        <f>T("Emirats Arabes Unis")</f>
        <v>Emirats Arabes Unis</v>
      </c>
    </row>
    <row r="17" spans="1:4" x14ac:dyDescent="0.25">
      <c r="A17" t="str">
        <f>T("   ZZ_Total_Produit_SH6")</f>
        <v xml:space="preserve">   ZZ_Total_Produit_SH6</v>
      </c>
      <c r="B17" t="str">
        <f>T("   ZZ_Total_Produit_SH6")</f>
        <v xml:space="preserve">   ZZ_Total_Produit_SH6</v>
      </c>
      <c r="C17">
        <v>29132676291.880001</v>
      </c>
      <c r="D17">
        <v>90121183.060000002</v>
      </c>
    </row>
    <row r="18" spans="1:4" x14ac:dyDescent="0.25">
      <c r="A18" t="str">
        <f>T("   020712")</f>
        <v xml:space="preserve">   020712</v>
      </c>
      <c r="B18" t="str">
        <f>T("   COQS ET POULES [DES ESPÈCES DOMESTIQUES], NON-DÉCOUPÉS EN MORCEAUX, CONGELÉS")</f>
        <v xml:space="preserve">   COQS ET POULES [DES ESPÈCES DOMESTIQUES], NON-DÉCOUPÉS EN MORCEAUX, CONGELÉS</v>
      </c>
      <c r="C18">
        <v>15550188</v>
      </c>
      <c r="D18">
        <v>25000</v>
      </c>
    </row>
    <row r="19" spans="1:4" x14ac:dyDescent="0.25">
      <c r="A19" t="str">
        <f>T("   020736")</f>
        <v xml:space="preserve">   020736</v>
      </c>
      <c r="B19" t="str">
        <f>T("   Morceaux et abats comestibles de canards, d'oies ou de pintades [des espèces domestiques], congelés (à l'excl. des foies gras)")</f>
        <v xml:space="preserve">   Morceaux et abats comestibles de canards, d'oies ou de pintades [des espèces domestiques], congelés (à l'excl. des foies gras)</v>
      </c>
      <c r="C19">
        <v>4000655</v>
      </c>
      <c r="D19">
        <v>7746</v>
      </c>
    </row>
    <row r="20" spans="1:4" x14ac:dyDescent="0.25">
      <c r="A20" t="str">
        <f>T("   040210")</f>
        <v xml:space="preserve">   040210</v>
      </c>
      <c r="B20" t="str">
        <f>T("   Lait et crème de lait, en poudre, en granulés ou sous d'autres formes solides, d'une teneur en poids de matières grasses &lt;= 1,5%")</f>
        <v xml:space="preserve">   Lait et crème de lait, en poudre, en granulés ou sous d'autres formes solides, d'une teneur en poids de matières grasses &lt;= 1,5%</v>
      </c>
      <c r="C20">
        <v>1000404</v>
      </c>
      <c r="D20">
        <v>1937</v>
      </c>
    </row>
    <row r="21" spans="1:4" x14ac:dyDescent="0.25">
      <c r="A21" t="str">
        <f>T("   040299")</f>
        <v xml:space="preserve">   040299</v>
      </c>
      <c r="B21" t="str">
        <f>T("   Lait et crème de lait, concentrés, additionnés de sucre ou d'autres édulcorants (à l'excl. des laits et crèmes de lait en poudre, en granulés ou sous d'autres formes solides)")</f>
        <v xml:space="preserve">   Lait et crème de lait, concentrés, additionnés de sucre ou d'autres édulcorants (à l'excl. des laits et crèmes de lait en poudre, en granulés ou sous d'autres formes solides)</v>
      </c>
      <c r="C21">
        <v>124631</v>
      </c>
      <c r="D21">
        <v>324</v>
      </c>
    </row>
    <row r="22" spans="1:4" x14ac:dyDescent="0.25">
      <c r="A22" t="str">
        <f>T("   040390")</f>
        <v xml:space="preserve">   040390</v>
      </c>
      <c r="B22" t="str">
        <f>T("   Babeurre, lait et crème caillés, képhir et autres laits et crèmes fermentés ou acidifiés, même concentrés ou additionnés de sucre ou d'autres édulcorants ou aromatisés ou additionnés de fruits ou de cacao (à l'excl. des yoghourts)")</f>
        <v xml:space="preserve">   Babeurre, lait et crème caillés, képhir et autres laits et crèmes fermentés ou acidifiés, même concentrés ou additionnés de sucre ou d'autres édulcorants ou aromatisés ou additionnés de fruits ou de cacao (à l'excl. des yoghourts)</v>
      </c>
      <c r="C22">
        <v>13108049</v>
      </c>
      <c r="D22">
        <v>48000</v>
      </c>
    </row>
    <row r="23" spans="1:4" x14ac:dyDescent="0.25">
      <c r="A23" t="str">
        <f>T("   040690")</f>
        <v xml:space="preserve">   040690</v>
      </c>
      <c r="B23" t="s">
        <v>17</v>
      </c>
      <c r="C23">
        <v>312057</v>
      </c>
      <c r="D23">
        <v>811</v>
      </c>
    </row>
    <row r="24" spans="1:4" x14ac:dyDescent="0.25">
      <c r="A24" t="str">
        <f>T("   070190")</f>
        <v xml:space="preserve">   070190</v>
      </c>
      <c r="B24" t="str">
        <f>T("   Pommes de terre, à l'état frais ou réfrigéré (à l'excl. des pommes de terre de semence)")</f>
        <v xml:space="preserve">   Pommes de terre, à l'état frais ou réfrigéré (à l'excl. des pommes de terre de semence)</v>
      </c>
      <c r="C24">
        <v>300552</v>
      </c>
      <c r="D24">
        <v>817</v>
      </c>
    </row>
    <row r="25" spans="1:4" x14ac:dyDescent="0.25">
      <c r="A25" t="str">
        <f>T("   071120")</f>
        <v xml:space="preserve">   071120</v>
      </c>
      <c r="B25" t="str">
        <f>T("   Olives, conservées provisoirement [p.ex. au moyen de gaz sulfureux ou dans de l'eau salée, soufrée ou additionnée d'autres substances servant à assurer provisoirement leur conservation], mais impropres à l'alimentation en l'état")</f>
        <v xml:space="preserve">   Olives, conservées provisoirement [p.ex. au moyen de gaz sulfureux ou dans de l'eau salée, soufrée ou additionnée d'autres substances servant à assurer provisoirement leur conservation], mais impropres à l'alimentation en l'état</v>
      </c>
      <c r="C25">
        <v>876015</v>
      </c>
      <c r="D25">
        <v>962</v>
      </c>
    </row>
    <row r="26" spans="1:4" x14ac:dyDescent="0.25">
      <c r="A26" t="str">
        <f>T("   090240")</f>
        <v xml:space="preserve">   090240</v>
      </c>
      <c r="B26" t="s">
        <v>25</v>
      </c>
      <c r="C26">
        <v>14546662</v>
      </c>
      <c r="D26">
        <v>22875</v>
      </c>
    </row>
    <row r="27" spans="1:4" x14ac:dyDescent="0.25">
      <c r="A27" t="str">
        <f>T("   100590")</f>
        <v xml:space="preserve">   100590</v>
      </c>
      <c r="B27" t="str">
        <f>T("   Maïs (autre que de semence)")</f>
        <v xml:space="preserve">   Maïs (autre que de semence)</v>
      </c>
      <c r="C27">
        <v>30826840</v>
      </c>
      <c r="D27">
        <v>130510</v>
      </c>
    </row>
    <row r="28" spans="1:4" x14ac:dyDescent="0.25">
      <c r="A28" t="str">
        <f>T("   100630")</f>
        <v xml:space="preserve">   100630</v>
      </c>
      <c r="B28" t="str">
        <f>T("   Riz semi-blanchi ou blanchi, même poli ou glacé")</f>
        <v xml:space="preserve">   Riz semi-blanchi ou blanchi, même poli ou glacé</v>
      </c>
      <c r="C28">
        <v>20438955430.361</v>
      </c>
      <c r="D28">
        <v>72811765</v>
      </c>
    </row>
    <row r="29" spans="1:4" x14ac:dyDescent="0.25">
      <c r="A29" t="str">
        <f>T("   100640")</f>
        <v xml:space="preserve">   100640</v>
      </c>
      <c r="B29" t="str">
        <f>T("   Riz en brisures")</f>
        <v xml:space="preserve">   Riz en brisures</v>
      </c>
      <c r="C29">
        <v>67247170.814999998</v>
      </c>
      <c r="D29">
        <v>250000</v>
      </c>
    </row>
    <row r="30" spans="1:4" x14ac:dyDescent="0.25">
      <c r="A30" t="str">
        <f>T("   110100")</f>
        <v xml:space="preserve">   110100</v>
      </c>
      <c r="B30" t="str">
        <f>T("   Farines de froment [blé] ou de méteil")</f>
        <v xml:space="preserve">   Farines de froment [blé] ou de méteil</v>
      </c>
      <c r="C30">
        <v>178800</v>
      </c>
      <c r="D30">
        <v>390</v>
      </c>
    </row>
    <row r="31" spans="1:4" x14ac:dyDescent="0.25">
      <c r="A31" t="str">
        <f>T("   121190")</f>
        <v xml:space="preserve">   121190</v>
      </c>
      <c r="B31" t="s">
        <v>30</v>
      </c>
      <c r="C31">
        <v>176401</v>
      </c>
      <c r="D31">
        <v>458</v>
      </c>
    </row>
    <row r="32" spans="1:4" x14ac:dyDescent="0.25">
      <c r="A32" t="str">
        <f>T("   150990")</f>
        <v xml:space="preserve">   150990</v>
      </c>
      <c r="B32" t="str">
        <f>T("   Huile d'olive et ses fractions, traitées mais non chimiquement modifiées, obtenues, à partir des fruits de l'olivier, uniquement par des procédés mécaniques ou physiques, dans des conditions n'altérant pas l'huile")</f>
        <v xml:space="preserve">   Huile d'olive et ses fractions, traitées mais non chimiquement modifiées, obtenues, à partir des fruits de l'olivier, uniquement par des procédés mécaniques ou physiques, dans des conditions n'altérant pas l'huile</v>
      </c>
      <c r="C32">
        <v>41703</v>
      </c>
      <c r="D32">
        <v>108</v>
      </c>
    </row>
    <row r="33" spans="1:4" x14ac:dyDescent="0.25">
      <c r="A33" t="str">
        <f>T("   151000")</f>
        <v xml:space="preserve">   151000</v>
      </c>
      <c r="B33" t="s">
        <v>32</v>
      </c>
      <c r="C33">
        <v>1343863</v>
      </c>
      <c r="D33">
        <v>2587</v>
      </c>
    </row>
    <row r="34" spans="1:4" x14ac:dyDescent="0.25">
      <c r="A34" t="str">
        <f>T("   151190")</f>
        <v xml:space="preserve">   151190</v>
      </c>
      <c r="B34" t="str">
        <f>T("   Huile de palme et ses fractions, même raffinées, mais non chimiquement modifiées (à l'excl. de l'huile de palme brute)")</f>
        <v xml:space="preserve">   Huile de palme et ses fractions, même raffinées, mais non chimiquement modifiées (à l'excl. de l'huile de palme brute)</v>
      </c>
      <c r="C34">
        <v>272420330.70300001</v>
      </c>
      <c r="D34">
        <v>709700</v>
      </c>
    </row>
    <row r="35" spans="1:4" x14ac:dyDescent="0.25">
      <c r="A35" t="str">
        <f>T("   151529")</f>
        <v xml:space="preserve">   151529</v>
      </c>
      <c r="B35" t="str">
        <f>T("   Huile de maïs et ses fractions, même raffinées, mais non chimiquement modifiées (à l'excl. de l'huile brute)")</f>
        <v xml:space="preserve">   Huile de maïs et ses fractions, même raffinées, mais non chimiquement modifiées (à l'excl. de l'huile brute)</v>
      </c>
      <c r="C35">
        <v>20000</v>
      </c>
      <c r="D35">
        <v>80</v>
      </c>
    </row>
    <row r="36" spans="1:4" x14ac:dyDescent="0.25">
      <c r="A36" t="str">
        <f>T("   160250")</f>
        <v xml:space="preserve">   160250</v>
      </c>
      <c r="B36" t="s">
        <v>41</v>
      </c>
      <c r="C36">
        <v>54293627</v>
      </c>
      <c r="D36">
        <v>96146</v>
      </c>
    </row>
    <row r="37" spans="1:4" x14ac:dyDescent="0.25">
      <c r="A37" t="str">
        <f>T("   160413")</f>
        <v xml:space="preserve">   160413</v>
      </c>
      <c r="B37" t="str">
        <f>T("   Préparations et conserves de sardines, sardinelles, sprats ou esprots, entiers ou en morceaux (à l'excl. des préparations et conserves de poissons hachés)")</f>
        <v xml:space="preserve">   Préparations et conserves de sardines, sardinelles, sprats ou esprots, entiers ou en morceaux (à l'excl. des préparations et conserves de poissons hachés)</v>
      </c>
      <c r="C37">
        <v>10511786</v>
      </c>
      <c r="D37">
        <v>21000</v>
      </c>
    </row>
    <row r="38" spans="1:4" x14ac:dyDescent="0.25">
      <c r="A38" t="str">
        <f>T("   170199")</f>
        <v xml:space="preserve">   170199</v>
      </c>
      <c r="B38" t="str">
        <f>T("   Sucres de canne ou de betterave et saccharose chimiquement pur, à l'état solide (à l'excl. des sucres bruts et des sucres de canne ou de betterave additionnés d'aromatisants ou de colorants)")</f>
        <v xml:space="preserve">   Sucres de canne ou de betterave et saccharose chimiquement pur, à l'état solide (à l'excl. des sucres bruts et des sucres de canne ou de betterave additionnés d'aromatisants ou de colorants)</v>
      </c>
      <c r="C38">
        <v>60000000</v>
      </c>
      <c r="D38">
        <v>500000</v>
      </c>
    </row>
    <row r="39" spans="1:4" x14ac:dyDescent="0.25">
      <c r="A39" t="str">
        <f>T("   170410")</f>
        <v xml:space="preserve">   170410</v>
      </c>
      <c r="B39" t="str">
        <f>T("   Gommes à mâcher [chewing-gum], même enrobées de sucre")</f>
        <v xml:space="preserve">   Gommes à mâcher [chewing-gum], même enrobées de sucre</v>
      </c>
      <c r="C39">
        <v>3483148</v>
      </c>
      <c r="D39">
        <v>22560</v>
      </c>
    </row>
    <row r="40" spans="1:4" x14ac:dyDescent="0.25">
      <c r="A40" t="str">
        <f>T("   170490")</f>
        <v xml:space="preserve">   170490</v>
      </c>
      <c r="B40" t="str">
        <f>T("   Sucreries sans cacao, y.c. le chocolat blanc (à l'excl. des gommes à mâcher)")</f>
        <v xml:space="preserve">   Sucreries sans cacao, y.c. le chocolat blanc (à l'excl. des gommes à mâcher)</v>
      </c>
      <c r="C40">
        <v>23049505</v>
      </c>
      <c r="D40">
        <v>44049</v>
      </c>
    </row>
    <row r="41" spans="1:4" x14ac:dyDescent="0.25">
      <c r="A41" t="str">
        <f>T("   190190")</f>
        <v xml:space="preserve">   190190</v>
      </c>
      <c r="B41" t="s">
        <v>48</v>
      </c>
      <c r="C41">
        <v>43204138</v>
      </c>
      <c r="D41">
        <v>130747</v>
      </c>
    </row>
    <row r="42" spans="1:4" x14ac:dyDescent="0.25">
      <c r="A42" t="str">
        <f>T("   190219")</f>
        <v xml:space="preserve">   190219</v>
      </c>
      <c r="B42" t="str">
        <f>T("   PÂTES ALIMENTAIRES NON-CUITES NI FARCIES NI AUTREMENT PRÉPARÉES, NE CONTENANT PAS D'OEUFS")</f>
        <v xml:space="preserve">   PÂTES ALIMENTAIRES NON-CUITES NI FARCIES NI AUTREMENT PRÉPARÉES, NE CONTENANT PAS D'OEUFS</v>
      </c>
      <c r="C42">
        <v>41415840</v>
      </c>
      <c r="D42">
        <v>216000</v>
      </c>
    </row>
    <row r="43" spans="1:4" x14ac:dyDescent="0.25">
      <c r="A43" t="str">
        <f>T("   190220")</f>
        <v xml:space="preserve">   190220</v>
      </c>
      <c r="B43" t="str">
        <f>T("   Pâtes alimentaires, farcies de viande ou d'autres substances, même cuites ou autrement préparées")</f>
        <v xml:space="preserve">   Pâtes alimentaires, farcies de viande ou d'autres substances, même cuites ou autrement préparées</v>
      </c>
      <c r="C43">
        <v>17501013</v>
      </c>
      <c r="D43">
        <v>81000</v>
      </c>
    </row>
    <row r="44" spans="1:4" x14ac:dyDescent="0.25">
      <c r="A44" t="str">
        <f>T("   190230")</f>
        <v xml:space="preserve">   190230</v>
      </c>
      <c r="B44" t="str">
        <f>T("   Pâtes alimentaires, cuites ou autrement préparées (à l'excl. des pâtes alimentaires farcies)")</f>
        <v xml:space="preserve">   Pâtes alimentaires, cuites ou autrement préparées (à l'excl. des pâtes alimentaires farcies)</v>
      </c>
      <c r="C44">
        <v>8357888</v>
      </c>
      <c r="D44">
        <v>31101</v>
      </c>
    </row>
    <row r="45" spans="1:4" x14ac:dyDescent="0.25">
      <c r="A45" t="str">
        <f>T("   190240")</f>
        <v xml:space="preserve">   190240</v>
      </c>
      <c r="B45" t="str">
        <f>T("   Couscous, même préparé")</f>
        <v xml:space="preserve">   Couscous, même préparé</v>
      </c>
      <c r="C45">
        <v>5834764</v>
      </c>
      <c r="D45">
        <v>19600</v>
      </c>
    </row>
    <row r="46" spans="1:4" x14ac:dyDescent="0.25">
      <c r="A46" t="str">
        <f>T("   190531")</f>
        <v xml:space="preserve">   190531</v>
      </c>
      <c r="B46" t="str">
        <f>T("   Biscuits additionnés d'édulcorants")</f>
        <v xml:space="preserve">   Biscuits additionnés d'édulcorants</v>
      </c>
      <c r="C46">
        <v>12788243</v>
      </c>
      <c r="D46">
        <v>21451</v>
      </c>
    </row>
    <row r="47" spans="1:4" x14ac:dyDescent="0.25">
      <c r="A47" t="str">
        <f>T("   190590")</f>
        <v xml:space="preserve">   190590</v>
      </c>
      <c r="B47" t="s">
        <v>50</v>
      </c>
      <c r="C47">
        <v>9941089</v>
      </c>
      <c r="D47">
        <v>38794</v>
      </c>
    </row>
    <row r="48" spans="1:4" x14ac:dyDescent="0.25">
      <c r="A48" t="str">
        <f>T("   200190")</f>
        <v xml:space="preserve">   200190</v>
      </c>
      <c r="B48" t="str">
        <f>T("   Légumes, fruits et autres parties comestibles de plantes, préparés ou conservés au vinaigre ou à l'acide acétique (à l'excl. des concombres et des cornichons)")</f>
        <v xml:space="preserve">   Légumes, fruits et autres parties comestibles de plantes, préparés ou conservés au vinaigre ou à l'acide acétique (à l'excl. des concombres et des cornichons)</v>
      </c>
      <c r="C48">
        <v>3690000</v>
      </c>
      <c r="D48">
        <v>21800</v>
      </c>
    </row>
    <row r="49" spans="1:4" x14ac:dyDescent="0.25">
      <c r="A49" t="str">
        <f>T("   200290")</f>
        <v xml:space="preserve">   200290</v>
      </c>
      <c r="B49" t="str">
        <f>T("   Tomates, préparées ou conservées autrement qu'au vinaigre ou à l'acide acétique (à l'excl. des tomates entières ou en morceaux)")</f>
        <v xml:space="preserve">   Tomates, préparées ou conservées autrement qu'au vinaigre ou à l'acide acétique (à l'excl. des tomates entières ou en morceaux)</v>
      </c>
      <c r="C49">
        <v>15127389</v>
      </c>
      <c r="D49">
        <v>44033</v>
      </c>
    </row>
    <row r="50" spans="1:4" x14ac:dyDescent="0.25">
      <c r="A50" t="str">
        <f>T("   200980")</f>
        <v xml:space="preserve">   200980</v>
      </c>
      <c r="B50" t="str">
        <f>T("   JUS DE FRUITS OU DE LÉGUMES, NON-FERMENTÉS, SANS ADDITION D'ALCOOL, AVEC OU SANS ADDITION DE SUCRE OU D'AUTRES ÉDULCORANTS (À L'EXCL. DES MÉLANGES AINSI QUE DES JUS D'AGRUMES, D'ANANAS, DE TOMATE, DE RAISIN - Y.C. LES MOÛTS - ET DE POMME)")</f>
        <v xml:space="preserve">   JUS DE FRUITS OU DE LÉGUMES, NON-FERMENTÉS, SANS ADDITION D'ALCOOL, AVEC OU SANS ADDITION DE SUCRE OU D'AUTRES ÉDULCORANTS (À L'EXCL. DES MÉLANGES AINSI QUE DES JUS D'AGRUMES, D'ANANAS, DE TOMATE, DE RAISIN - Y.C. LES MOÛTS - ET DE POMME)</v>
      </c>
      <c r="C50">
        <v>13200732</v>
      </c>
      <c r="D50">
        <v>77586</v>
      </c>
    </row>
    <row r="51" spans="1:4" x14ac:dyDescent="0.25">
      <c r="A51" t="str">
        <f>T("   200990")</f>
        <v xml:space="preserve">   200990</v>
      </c>
      <c r="B51" t="str">
        <f>T("   MÉLANGES DE JUS DE FRUITS - Y.C. LES MOÛTS DE RAISIN - ET DE JUS DE LÉGUMES, NON-FERMENTÉS, SANS ADDITION D'ALCOOL, AVEC OU SANS ADDITION DE SUCRE OU D'AUTRES ÉDULCORANTS")</f>
        <v xml:space="preserve">   MÉLANGES DE JUS DE FRUITS - Y.C. LES MOÛTS DE RAISIN - ET DE JUS DE LÉGUMES, NON-FERMENTÉS, SANS ADDITION D'ALCOOL, AVEC OU SANS ADDITION DE SUCRE OU D'AUTRES ÉDULCORANTS</v>
      </c>
      <c r="C51">
        <v>4782954</v>
      </c>
      <c r="D51">
        <v>21600</v>
      </c>
    </row>
    <row r="52" spans="1:4" x14ac:dyDescent="0.25">
      <c r="A52" t="str">
        <f>T("   210111")</f>
        <v xml:space="preserve">   210111</v>
      </c>
      <c r="B52" t="str">
        <f>T("   Extraits, essences et concentrés de café")</f>
        <v xml:space="preserve">   Extraits, essences et concentrés de café</v>
      </c>
      <c r="C52">
        <v>502838</v>
      </c>
      <c r="D52">
        <v>1307</v>
      </c>
    </row>
    <row r="53" spans="1:4" x14ac:dyDescent="0.25">
      <c r="A53" t="str">
        <f>T("   210320")</f>
        <v xml:space="preserve">   210320</v>
      </c>
      <c r="B53" t="str">
        <f>T("   Tomato ketchup et autres sauces tomates")</f>
        <v xml:space="preserve">   Tomato ketchup et autres sauces tomates</v>
      </c>
      <c r="C53">
        <v>800035</v>
      </c>
      <c r="D53">
        <v>1550</v>
      </c>
    </row>
    <row r="54" spans="1:4" x14ac:dyDescent="0.25">
      <c r="A54" t="str">
        <f>T("   210390")</f>
        <v xml:space="preserve">   210390</v>
      </c>
      <c r="B54" t="str">
        <f>T("   Préparations pour sauces et sauces préparées; condiments et assaisonnements, composés (à l'excl. de la sauce de soja, du tomato ketchup et autres sauces tomates, de la farine de moutarde et de la moutarde préparée)")</f>
        <v xml:space="preserve">   Préparations pour sauces et sauces préparées; condiments et assaisonnements, composés (à l'excl. de la sauce de soja, du tomato ketchup et autres sauces tomates, de la farine de moutarde et de la moutarde préparée)</v>
      </c>
      <c r="C54">
        <v>28712275</v>
      </c>
      <c r="D54">
        <v>70572</v>
      </c>
    </row>
    <row r="55" spans="1:4" x14ac:dyDescent="0.25">
      <c r="A55" t="str">
        <f>T("   210410")</f>
        <v xml:space="preserve">   210410</v>
      </c>
      <c r="B55" t="str">
        <f>T("   Préparations pour soupes, potages ou bouillons; soupes, potages ou bouillons préparés")</f>
        <v xml:space="preserve">   Préparations pour soupes, potages ou bouillons; soupes, potages ou bouillons préparés</v>
      </c>
      <c r="C55">
        <v>19199886</v>
      </c>
      <c r="D55">
        <v>36453</v>
      </c>
    </row>
    <row r="56" spans="1:4" x14ac:dyDescent="0.25">
      <c r="A56" t="str">
        <f>T("   210690")</f>
        <v xml:space="preserve">   210690</v>
      </c>
      <c r="B56" t="str">
        <f>T("   Préparations alimentaires, n.d.a.")</f>
        <v xml:space="preserve">   Préparations alimentaires, n.d.a.</v>
      </c>
      <c r="C56">
        <v>909327</v>
      </c>
      <c r="D56">
        <v>2362</v>
      </c>
    </row>
    <row r="57" spans="1:4" x14ac:dyDescent="0.25">
      <c r="A57" t="str">
        <f>T("   220210")</f>
        <v xml:space="preserve">   220210</v>
      </c>
      <c r="B57" t="str">
        <f>T("   Eaux, y.c. les eaux minérales et les eaux gazéifiées, additionnées de sucre ou d'autres édulcorants ou aromatisées, directement consommables en l'état en tant que boissons")</f>
        <v xml:space="preserve">   Eaux, y.c. les eaux minérales et les eaux gazéifiées, additionnées de sucre ou d'autres édulcorants ou aromatisées, directement consommables en l'état en tant que boissons</v>
      </c>
      <c r="C57">
        <v>3176839</v>
      </c>
      <c r="D57">
        <v>17500</v>
      </c>
    </row>
    <row r="58" spans="1:4" x14ac:dyDescent="0.25">
      <c r="A58" t="str">
        <f>T("   220290")</f>
        <v xml:space="preserve">   220290</v>
      </c>
      <c r="B58" t="str">
        <f>T("   BOISSONS NON-ALCOOLIQUES (À L'EXCL. DES EAUX, DES JUS DE FRUITS OU DE LÉGUMES AINSI QUE DU LAIT)")</f>
        <v xml:space="preserve">   BOISSONS NON-ALCOOLIQUES (À L'EXCL. DES EAUX, DES JUS DE FRUITS OU DE LÉGUMES AINSI QUE DU LAIT)</v>
      </c>
      <c r="C58">
        <v>21348283</v>
      </c>
      <c r="D58">
        <v>101711</v>
      </c>
    </row>
    <row r="59" spans="1:4" x14ac:dyDescent="0.25">
      <c r="A59" t="str">
        <f>T("   220300")</f>
        <v xml:space="preserve">   220300</v>
      </c>
      <c r="B59" t="str">
        <f>T("   Bières de malt")</f>
        <v xml:space="preserve">   Bières de malt</v>
      </c>
      <c r="C59">
        <v>22592307</v>
      </c>
      <c r="D59">
        <v>110440</v>
      </c>
    </row>
    <row r="60" spans="1:4" x14ac:dyDescent="0.25">
      <c r="A60" t="str">
        <f>T("   220830")</f>
        <v xml:space="preserve">   220830</v>
      </c>
      <c r="B60" t="str">
        <f>T("   Whiskies")</f>
        <v xml:space="preserve">   Whiskies</v>
      </c>
      <c r="C60">
        <v>4608950</v>
      </c>
      <c r="D60">
        <v>10400</v>
      </c>
    </row>
    <row r="61" spans="1:4" x14ac:dyDescent="0.25">
      <c r="A61" t="str">
        <f>T("   240220")</f>
        <v xml:space="preserve">   240220</v>
      </c>
      <c r="B61" t="str">
        <f>T("   Cigarettes contenant du tabac")</f>
        <v xml:space="preserve">   Cigarettes contenant du tabac</v>
      </c>
      <c r="C61">
        <v>793653059</v>
      </c>
      <c r="D61">
        <v>378414</v>
      </c>
    </row>
    <row r="62" spans="1:4" x14ac:dyDescent="0.25">
      <c r="A62" t="str">
        <f>T("   240290")</f>
        <v xml:space="preserve">   240290</v>
      </c>
      <c r="B62" t="str">
        <f>T("   Cigares, cigarillos et cigarettes, en succédanés du tabac")</f>
        <v xml:space="preserve">   Cigares, cigarillos et cigarettes, en succédanés du tabac</v>
      </c>
      <c r="C62">
        <v>144133283</v>
      </c>
      <c r="D62">
        <v>57472</v>
      </c>
    </row>
    <row r="63" spans="1:4" x14ac:dyDescent="0.25">
      <c r="A63" t="str">
        <f>T("   271019")</f>
        <v xml:space="preserve">   271019</v>
      </c>
      <c r="B63" t="str">
        <f>T("   Huiles moyennes et préparations, de pétrole ou de minéraux bitumineux, n.d.a.")</f>
        <v xml:space="preserve">   Huiles moyennes et préparations, de pétrole ou de minéraux bitumineux, n.d.a.</v>
      </c>
      <c r="C63">
        <v>2062409693</v>
      </c>
      <c r="D63">
        <v>3786131</v>
      </c>
    </row>
    <row r="64" spans="1:4" x14ac:dyDescent="0.25">
      <c r="A64" t="str">
        <f>T("   271099")</f>
        <v xml:space="preserve">   271099</v>
      </c>
      <c r="B64" t="str">
        <f>T("   Déchets d'huiles contenant principalement des huiles de pétrole ou de minéraux bitumineux (à l'excl. des celles contenant des diphényles polychlorés [PCB], des terphényles polychlorés [PCT] ou des diphényles polybromés [PBB])")</f>
        <v xml:space="preserve">   Déchets d'huiles contenant principalement des huiles de pétrole ou de minéraux bitumineux (à l'excl. des celles contenant des diphényles polychlorés [PCB], des terphényles polychlorés [PCT] ou des diphényles polybromés [PBB])</v>
      </c>
      <c r="C64">
        <v>117441</v>
      </c>
      <c r="D64">
        <v>500</v>
      </c>
    </row>
    <row r="65" spans="1:4" x14ac:dyDescent="0.25">
      <c r="A65" t="str">
        <f>T("   281512")</f>
        <v xml:space="preserve">   281512</v>
      </c>
      <c r="B65" t="str">
        <f>T("   Hydroxyde de sodium en solution aqueuse [lessive de soude caustique]")</f>
        <v xml:space="preserve">   Hydroxyde de sodium en solution aqueuse [lessive de soude caustique]</v>
      </c>
      <c r="C65">
        <v>10441600</v>
      </c>
      <c r="D65">
        <v>52208</v>
      </c>
    </row>
    <row r="66" spans="1:4" x14ac:dyDescent="0.25">
      <c r="A66" t="str">
        <f>T("   290349")</f>
        <v xml:space="preserve">   290349</v>
      </c>
      <c r="B66" t="str">
        <f>T("   Dérivés halogénés des hydrocarbures acycliques contenant au moins deux halogènes différents (à l'excl. des dérivés perhalogénés)")</f>
        <v xml:space="preserve">   Dérivés halogénés des hydrocarbures acycliques contenant au moins deux halogènes différents (à l'excl. des dérivés perhalogénés)</v>
      </c>
      <c r="C66">
        <v>1399759</v>
      </c>
      <c r="D66">
        <v>1561</v>
      </c>
    </row>
    <row r="67" spans="1:4" x14ac:dyDescent="0.25">
      <c r="A67" t="str">
        <f>T("   300490")</f>
        <v xml:space="preserve">   300490</v>
      </c>
      <c r="B67" t="s">
        <v>78</v>
      </c>
      <c r="C67">
        <v>5254</v>
      </c>
      <c r="D67">
        <v>7.6</v>
      </c>
    </row>
    <row r="68" spans="1:4" x14ac:dyDescent="0.25">
      <c r="A68" t="str">
        <f>T("   300510")</f>
        <v xml:space="preserve">   300510</v>
      </c>
      <c r="B68" t="str">
        <f>T("   Pansements adhésifs et autres articles ayant une couche adhésive, imprégnés ou recouverts de substances pharmaceutiques ou conditionnés pour la vente au détail à des fins médicales, chirurgicales, dentaires ou vétérinaires")</f>
        <v xml:space="preserve">   Pansements adhésifs et autres articles ayant une couche adhésive, imprégnés ou recouverts de substances pharmaceutiques ou conditionnés pour la vente au détail à des fins médicales, chirurgicales, dentaires ou vétérinaires</v>
      </c>
      <c r="C68">
        <v>488937</v>
      </c>
      <c r="D68">
        <v>505</v>
      </c>
    </row>
    <row r="69" spans="1:4" x14ac:dyDescent="0.25">
      <c r="A69" t="str">
        <f>T("   300590")</f>
        <v xml:space="preserve">   300590</v>
      </c>
      <c r="B69" t="s">
        <v>79</v>
      </c>
      <c r="C69">
        <v>5208000</v>
      </c>
      <c r="D69">
        <v>2930</v>
      </c>
    </row>
    <row r="70" spans="1:4" x14ac:dyDescent="0.25">
      <c r="A70" t="str">
        <f>T("   321519")</f>
        <v xml:space="preserve">   321519</v>
      </c>
      <c r="B70" t="str">
        <f>T("   Encres d'imprimerie, même concentrées ou sous formes solides (à l'excl. des encres noires)")</f>
        <v xml:space="preserve">   Encres d'imprimerie, même concentrées ou sous formes solides (à l'excl. des encres noires)</v>
      </c>
      <c r="C70">
        <v>4158462</v>
      </c>
      <c r="D70">
        <v>1101</v>
      </c>
    </row>
    <row r="71" spans="1:4" x14ac:dyDescent="0.25">
      <c r="A71" t="str">
        <f>T("   321590")</f>
        <v xml:space="preserve">   321590</v>
      </c>
      <c r="B71" t="str">
        <f>T("   Encres à écrire et à dessiner, même concentrées ou sous formes solides")</f>
        <v xml:space="preserve">   Encres à écrire et à dessiner, même concentrées ou sous formes solides</v>
      </c>
      <c r="C71">
        <v>7078729</v>
      </c>
      <c r="D71">
        <v>2553</v>
      </c>
    </row>
    <row r="72" spans="1:4" x14ac:dyDescent="0.25">
      <c r="A72" t="str">
        <f>T("   330499")</f>
        <v xml:space="preserve">   330499</v>
      </c>
      <c r="B72" t="s">
        <v>100</v>
      </c>
      <c r="C72">
        <v>2276913</v>
      </c>
      <c r="D72">
        <v>2907</v>
      </c>
    </row>
    <row r="73" spans="1:4" x14ac:dyDescent="0.25">
      <c r="A73" t="str">
        <f>T("   330510")</f>
        <v xml:space="preserve">   330510</v>
      </c>
      <c r="B73" t="str">
        <f>T("   Shampooings")</f>
        <v xml:space="preserve">   Shampooings</v>
      </c>
      <c r="C73">
        <v>200369</v>
      </c>
      <c r="D73">
        <v>389</v>
      </c>
    </row>
    <row r="74" spans="1:4" x14ac:dyDescent="0.25">
      <c r="A74" t="str">
        <f>T("   330590")</f>
        <v xml:space="preserve">   330590</v>
      </c>
      <c r="B74" t="str">
        <f>T("   PRÉPARATIONS CAPILLAIRES (À L'EXCL. DES SHAMPOOINGS, DES LAQUES POUR CHEVEUX ET DES PRÉPARATIONS POUR L'ONDULATION OU LE DÉFRISAGE PERMANENTS)")</f>
        <v xml:space="preserve">   PRÉPARATIONS CAPILLAIRES (À L'EXCL. DES SHAMPOOINGS, DES LAQUES POUR CHEVEUX ET DES PRÉPARATIONS POUR L'ONDULATION OU LE DÉFRISAGE PERMANENTS)</v>
      </c>
      <c r="C74">
        <v>2449868</v>
      </c>
      <c r="D74">
        <v>5488</v>
      </c>
    </row>
    <row r="75" spans="1:4" x14ac:dyDescent="0.25">
      <c r="A75" t="str">
        <f>T("   330610")</f>
        <v xml:space="preserve">   330610</v>
      </c>
      <c r="B75" t="str">
        <f>T("   Dentifrices, préparés, même des types utilisés par les dentistes")</f>
        <v xml:space="preserve">   Dentifrices, préparés, même des types utilisés par les dentistes</v>
      </c>
      <c r="C75">
        <v>10900000</v>
      </c>
      <c r="D75">
        <v>50404</v>
      </c>
    </row>
    <row r="76" spans="1:4" x14ac:dyDescent="0.25">
      <c r="A76" t="str">
        <f>T("   330790")</f>
        <v xml:space="preserve">   330790</v>
      </c>
      <c r="B76" t="str">
        <f>T("   Dépilatoires, autres produits de parfumerie ou de toilette préparés et autres préparations cosmétiques, n.d.a.")</f>
        <v xml:space="preserve">   Dépilatoires, autres produits de parfumerie ou de toilette préparés et autres préparations cosmétiques, n.d.a.</v>
      </c>
      <c r="C76">
        <v>1490398</v>
      </c>
      <c r="D76">
        <v>4120</v>
      </c>
    </row>
    <row r="77" spans="1:4" x14ac:dyDescent="0.25">
      <c r="A77" t="str">
        <f>T("   340111")</f>
        <v xml:space="preserve">   340111</v>
      </c>
      <c r="B77" t="s">
        <v>101</v>
      </c>
      <c r="C77">
        <v>16218057</v>
      </c>
      <c r="D77">
        <v>47838</v>
      </c>
    </row>
    <row r="78" spans="1:4" x14ac:dyDescent="0.25">
      <c r="A78" t="str">
        <f>T("   340119")</f>
        <v xml:space="preserve">   340119</v>
      </c>
      <c r="B78" t="s">
        <v>102</v>
      </c>
      <c r="C78">
        <v>69000</v>
      </c>
      <c r="D78">
        <v>95</v>
      </c>
    </row>
    <row r="79" spans="1:4" x14ac:dyDescent="0.25">
      <c r="A79" t="str">
        <f>T("   340120")</f>
        <v xml:space="preserve">   340120</v>
      </c>
      <c r="B79" t="str">
        <f>T("   Savons en flocons, en paillettes, en granulés ou en poudres et savons liquides ou pâteux")</f>
        <v xml:space="preserve">   Savons en flocons, en paillettes, en granulés ou en poudres et savons liquides ou pâteux</v>
      </c>
      <c r="C79">
        <v>5244902</v>
      </c>
      <c r="D79">
        <v>13644</v>
      </c>
    </row>
    <row r="80" spans="1:4" x14ac:dyDescent="0.25">
      <c r="A80" t="str">
        <f>T("   340220")</f>
        <v xml:space="preserve">   340220</v>
      </c>
      <c r="B80" t="s">
        <v>103</v>
      </c>
      <c r="C80">
        <v>491823</v>
      </c>
      <c r="D80">
        <v>3909</v>
      </c>
    </row>
    <row r="81" spans="1:4" x14ac:dyDescent="0.25">
      <c r="A81" t="str">
        <f>T("   340290")</f>
        <v xml:space="preserve">   340290</v>
      </c>
      <c r="B81" t="s">
        <v>104</v>
      </c>
      <c r="C81">
        <v>250000</v>
      </c>
      <c r="D81">
        <v>2562</v>
      </c>
    </row>
    <row r="82" spans="1:4" x14ac:dyDescent="0.25">
      <c r="A82" t="str">
        <f>T("   350610")</f>
        <v xml:space="preserve">   350610</v>
      </c>
      <c r="B82" t="str">
        <f>T("   Produits de toute espèce à usage de colles ou d'adhésifs, conditionnés pour la vente au détail comme colles ou adhésifs, d'un poids net &lt;= 1 kg")</f>
        <v xml:space="preserve">   Produits de toute espèce à usage de colles ou d'adhésifs, conditionnés pour la vente au détail comme colles ou adhésifs, d'un poids net &lt;= 1 kg</v>
      </c>
      <c r="C82">
        <v>8840081</v>
      </c>
      <c r="D82">
        <v>5948</v>
      </c>
    </row>
    <row r="83" spans="1:4" x14ac:dyDescent="0.25">
      <c r="A83" t="str">
        <f>T("   380810")</f>
        <v xml:space="preserve">   380810</v>
      </c>
      <c r="B83" t="str">
        <f>T("   Insecticides présentés dans des formes ou emballages de vente au détail ou à l'état de préparations ou sous forme d'articles")</f>
        <v xml:space="preserve">   Insecticides présentés dans des formes ou emballages de vente au détail ou à l'état de préparations ou sous forme d'articles</v>
      </c>
      <c r="C83">
        <v>9264397</v>
      </c>
      <c r="D83">
        <v>11822</v>
      </c>
    </row>
    <row r="84" spans="1:4" x14ac:dyDescent="0.25">
      <c r="A84" t="str">
        <f>T("   381400")</f>
        <v xml:space="preserve">   381400</v>
      </c>
      <c r="B84" t="str">
        <f>T("   Solvants et diluants organiques composites, n.d.a.; préparations conçues pour enlever les peintures ou les vernis (à l'excl. des dissolvants pour vernis à ongles)")</f>
        <v xml:space="preserve">   Solvants et diluants organiques composites, n.d.a.; préparations conçues pour enlever les peintures ou les vernis (à l'excl. des dissolvants pour vernis à ongles)</v>
      </c>
      <c r="C84">
        <v>502905</v>
      </c>
      <c r="D84">
        <v>84</v>
      </c>
    </row>
    <row r="85" spans="1:4" x14ac:dyDescent="0.25">
      <c r="A85" t="str">
        <f>T("   381900")</f>
        <v xml:space="preserve">   381900</v>
      </c>
      <c r="B85" t="str">
        <f>T("   Liquides pour freins hydrauliques et autres liquides préparés pour transmissions hydrauliques, ne contenant ni huiles de pétrole ni huiles de minéraux bitumineux ou en contenant &lt; 70% en poids")</f>
        <v xml:space="preserve">   Liquides pour freins hydrauliques et autres liquides préparés pour transmissions hydrauliques, ne contenant ni huiles de pétrole ni huiles de minéraux bitumineux ou en contenant &lt; 70% en poids</v>
      </c>
      <c r="C85">
        <v>29925256</v>
      </c>
      <c r="D85">
        <v>23125</v>
      </c>
    </row>
    <row r="86" spans="1:4" x14ac:dyDescent="0.25">
      <c r="A86" t="str">
        <f>T("   382000")</f>
        <v xml:space="preserve">   382000</v>
      </c>
      <c r="B86" t="str">
        <f>T("   Préparations antigel et liquides préparés pour dégivrage (à l'excl. des additifs préparés pour huiles minérales ou pour autres liquides utilisés aux mêmes fins que les huiles minérales)")</f>
        <v xml:space="preserve">   Préparations antigel et liquides préparés pour dégivrage (à l'excl. des additifs préparés pour huiles minérales ou pour autres liquides utilisés aux mêmes fins que les huiles minérales)</v>
      </c>
      <c r="C86">
        <v>2954951</v>
      </c>
      <c r="D86">
        <v>2700</v>
      </c>
    </row>
    <row r="87" spans="1:4" x14ac:dyDescent="0.25">
      <c r="A87" t="str">
        <f>T("   382490")</f>
        <v xml:space="preserve">   382490</v>
      </c>
      <c r="B87" t="str">
        <f>T("   Produits chimiques et préparations des industries chimiques ou des industries connexes, y.c. celles consistant en mélanges de produits naturels, n.d.a.")</f>
        <v xml:space="preserve">   Produits chimiques et préparations des industries chimiques ou des industries connexes, y.c. celles consistant en mélanges de produits naturels, n.d.a.</v>
      </c>
      <c r="C87">
        <v>210550</v>
      </c>
      <c r="D87">
        <v>200</v>
      </c>
    </row>
    <row r="88" spans="1:4" x14ac:dyDescent="0.25">
      <c r="A88" t="str">
        <f>T("   391000")</f>
        <v xml:space="preserve">   391000</v>
      </c>
      <c r="B88" t="str">
        <f>T("   Silicones sous formes primaires")</f>
        <v xml:space="preserve">   Silicones sous formes primaires</v>
      </c>
      <c r="C88">
        <v>147160</v>
      </c>
      <c r="D88">
        <v>225</v>
      </c>
    </row>
    <row r="89" spans="1:4" x14ac:dyDescent="0.25">
      <c r="A89" t="str">
        <f>T("   391729")</f>
        <v xml:space="preserve">   391729</v>
      </c>
      <c r="B89" t="str">
        <f>T("   TUBES ET TUYAUX RIGIDES, EN MATIÈRES PLASTIQUES (À L'EXCL. DES TUBES ET TUYAUX EN POLYMÈRES DE L'ÉTHYLÈNE, DU PROPYLÈNE OU DU CHLORURE DE VINYLE)")</f>
        <v xml:space="preserve">   TUBES ET TUYAUX RIGIDES, EN MATIÈRES PLASTIQUES (À L'EXCL. DES TUBES ET TUYAUX EN POLYMÈRES DE L'ÉTHYLÈNE, DU PROPYLÈNE OU DU CHLORURE DE VINYLE)</v>
      </c>
      <c r="C89">
        <v>19449777</v>
      </c>
      <c r="D89">
        <v>67600</v>
      </c>
    </row>
    <row r="90" spans="1:4" x14ac:dyDescent="0.25">
      <c r="A90" t="str">
        <f>T("   391740")</f>
        <v xml:space="preserve">   391740</v>
      </c>
      <c r="B90" t="str">
        <f>T("   Accessoires pour tubes ou tuyaux [joints, coudes, raccords, par exemple], en matières plastiques")</f>
        <v xml:space="preserve">   Accessoires pour tubes ou tuyaux [joints, coudes, raccords, par exemple], en matières plastiques</v>
      </c>
      <c r="C90">
        <v>1051100</v>
      </c>
      <c r="D90">
        <v>2400</v>
      </c>
    </row>
    <row r="91" spans="1:4" x14ac:dyDescent="0.25">
      <c r="A91" t="str">
        <f>T("   391890")</f>
        <v xml:space="preserve">   391890</v>
      </c>
      <c r="B91" t="s">
        <v>129</v>
      </c>
      <c r="C91">
        <v>500352</v>
      </c>
      <c r="D91">
        <v>5572</v>
      </c>
    </row>
    <row r="92" spans="1:4" x14ac:dyDescent="0.25">
      <c r="A92" t="str">
        <f>T("   391990")</f>
        <v xml:space="preserve">   391990</v>
      </c>
      <c r="B92" t="s">
        <v>130</v>
      </c>
      <c r="C92">
        <v>4591809</v>
      </c>
      <c r="D92">
        <v>8850</v>
      </c>
    </row>
    <row r="93" spans="1:4" x14ac:dyDescent="0.25">
      <c r="A93" t="str">
        <f>T("   392329")</f>
        <v xml:space="preserve">   392329</v>
      </c>
      <c r="B93" t="str">
        <f>T("   Sacs, sachets, pochettes et cornets, en matières plastiques (autres que les polymères de l'éthylène)")</f>
        <v xml:space="preserve">   Sacs, sachets, pochettes et cornets, en matières plastiques (autres que les polymères de l'éthylène)</v>
      </c>
      <c r="C93">
        <v>263109</v>
      </c>
      <c r="D93">
        <v>226</v>
      </c>
    </row>
    <row r="94" spans="1:4" x14ac:dyDescent="0.25">
      <c r="A94" t="str">
        <f>T("   392410")</f>
        <v xml:space="preserve">   392410</v>
      </c>
      <c r="B94" t="str">
        <f>T("   Vaisselle et autres articles pour le service de la table ou de la cuisine, en matières plastiques")</f>
        <v xml:space="preserve">   Vaisselle et autres articles pour le service de la table ou de la cuisine, en matières plastiques</v>
      </c>
      <c r="C94">
        <v>8247256</v>
      </c>
      <c r="D94">
        <v>8992</v>
      </c>
    </row>
    <row r="95" spans="1:4" x14ac:dyDescent="0.25">
      <c r="A95" t="str">
        <f>T("   392620")</f>
        <v xml:space="preserve">   392620</v>
      </c>
      <c r="B95" t="str">
        <f>T("   Vêtements et accessoires du vêtement, y.c. les gants, mitaines et moufles, fabriqués par couture ou collage à partir de feuilles en matières plastiques")</f>
        <v xml:space="preserve">   Vêtements et accessoires du vêtement, y.c. les gants, mitaines et moufles, fabriqués par couture ou collage à partir de feuilles en matières plastiques</v>
      </c>
      <c r="C95">
        <v>5823546</v>
      </c>
      <c r="D95">
        <v>972</v>
      </c>
    </row>
    <row r="96" spans="1:4" x14ac:dyDescent="0.25">
      <c r="A96" t="str">
        <f>T("   392690")</f>
        <v xml:space="preserve">   392690</v>
      </c>
      <c r="B96" t="str">
        <f>T("   Ouvrages en matières plastiques et ouvrages en autres matières du n° 3901 à 3914, n.d.a.")</f>
        <v xml:space="preserve">   Ouvrages en matières plastiques et ouvrages en autres matières du n° 3901 à 3914, n.d.a.</v>
      </c>
      <c r="C96">
        <v>8049883</v>
      </c>
      <c r="D96">
        <v>10760</v>
      </c>
    </row>
    <row r="97" spans="1:4" x14ac:dyDescent="0.25">
      <c r="A97" t="str">
        <f>T("   401110")</f>
        <v xml:space="preserve">   401110</v>
      </c>
      <c r="B97" t="str">
        <f>T("   Pneumatiques neufs, en caoutchouc, des types utilisés pour les voitures de tourisme, y.c. les voitures du type 'break' et les voitures de course")</f>
        <v xml:space="preserve">   Pneumatiques neufs, en caoutchouc, des types utilisés pour les voitures de tourisme, y.c. les voitures du type 'break' et les voitures de course</v>
      </c>
      <c r="C97">
        <v>45970989</v>
      </c>
      <c r="D97">
        <v>23166</v>
      </c>
    </row>
    <row r="98" spans="1:4" x14ac:dyDescent="0.25">
      <c r="A98" t="str">
        <f>T("   401120")</f>
        <v xml:space="preserve">   401120</v>
      </c>
      <c r="B98" t="str">
        <f>T("   Pneumatiques neufs, en caoutchouc, des types utilisés pour les autobus ou les camions (à l'excl. des pneumatiques à crampons, à chevrons ou simil.)")</f>
        <v xml:space="preserve">   Pneumatiques neufs, en caoutchouc, des types utilisés pour les autobus ou les camions (à l'excl. des pneumatiques à crampons, à chevrons ou simil.)</v>
      </c>
      <c r="C98">
        <v>33181365</v>
      </c>
      <c r="D98">
        <v>30844</v>
      </c>
    </row>
    <row r="99" spans="1:4" x14ac:dyDescent="0.25">
      <c r="A99" t="str">
        <f>T("   401220")</f>
        <v xml:space="preserve">   401220</v>
      </c>
      <c r="B99" t="str">
        <f>T("   Pneumatiques usagés, en caoutchouc")</f>
        <v xml:space="preserve">   Pneumatiques usagés, en caoutchouc</v>
      </c>
      <c r="C99">
        <v>249262</v>
      </c>
      <c r="D99">
        <v>3000</v>
      </c>
    </row>
    <row r="100" spans="1:4" x14ac:dyDescent="0.25">
      <c r="A100" t="str">
        <f>T("   401699")</f>
        <v xml:space="preserve">   401699</v>
      </c>
      <c r="B100" t="str">
        <f>T("   OUVRAGES EN CAOUTCHOUC VULCANISÉ NON-DURCI, N.D.A.")</f>
        <v xml:space="preserve">   OUVRAGES EN CAOUTCHOUC VULCANISÉ NON-DURCI, N.D.A.</v>
      </c>
      <c r="C100">
        <v>92994</v>
      </c>
      <c r="D100">
        <v>370</v>
      </c>
    </row>
    <row r="101" spans="1:4" x14ac:dyDescent="0.25">
      <c r="A101" t="str">
        <f>T("   420219")</f>
        <v xml:space="preserve">   420219</v>
      </c>
      <c r="B101" t="s">
        <v>161</v>
      </c>
      <c r="C101">
        <v>986502</v>
      </c>
      <c r="D101">
        <v>5100</v>
      </c>
    </row>
    <row r="102" spans="1:4" x14ac:dyDescent="0.25">
      <c r="A102" t="str">
        <f>T("   420229")</f>
        <v xml:space="preserve">   420229</v>
      </c>
      <c r="B102" t="str">
        <f>T("   Sacs à main, même à bandoulière, y.c. ceux sans poignée, à surface extérieure en fibre vulcanisée ou en carton, ou recouverts, en totalité ou en majeure partie, de ces mêmes matières ou de papier")</f>
        <v xml:space="preserve">   Sacs à main, même à bandoulière, y.c. ceux sans poignée, à surface extérieure en fibre vulcanisée ou en carton, ou recouverts, en totalité ou en majeure partie, de ces mêmes matières ou de papier</v>
      </c>
      <c r="C102">
        <v>1536849</v>
      </c>
      <c r="D102">
        <v>1201</v>
      </c>
    </row>
    <row r="103" spans="1:4" x14ac:dyDescent="0.25">
      <c r="A103" t="str">
        <f>T("   441700")</f>
        <v xml:space="preserve">   441700</v>
      </c>
      <c r="B103" t="s">
        <v>181</v>
      </c>
      <c r="C103">
        <v>310619</v>
      </c>
      <c r="D103">
        <v>1150</v>
      </c>
    </row>
    <row r="104" spans="1:4" x14ac:dyDescent="0.25">
      <c r="A104" t="str">
        <f>T("   441810")</f>
        <v xml:space="preserve">   441810</v>
      </c>
      <c r="B104" t="str">
        <f>T("   Fenêtres, portes-fenêtres et leurs cadres et chambranles, en bois")</f>
        <v xml:space="preserve">   Fenêtres, portes-fenêtres et leurs cadres et chambranles, en bois</v>
      </c>
      <c r="C104">
        <v>1617840</v>
      </c>
      <c r="D104">
        <v>9000</v>
      </c>
    </row>
    <row r="105" spans="1:4" x14ac:dyDescent="0.25">
      <c r="A105" t="str">
        <f>T("   480257")</f>
        <v xml:space="preserve">   480257</v>
      </c>
      <c r="B105" t="s">
        <v>191</v>
      </c>
      <c r="C105">
        <v>61083234</v>
      </c>
      <c r="D105">
        <v>136773</v>
      </c>
    </row>
    <row r="106" spans="1:4" x14ac:dyDescent="0.25">
      <c r="A106" t="str">
        <f>T("   481029")</f>
        <v xml:space="preserve">   481029</v>
      </c>
      <c r="B106" t="s">
        <v>205</v>
      </c>
      <c r="C106">
        <v>5000</v>
      </c>
      <c r="D106">
        <v>5</v>
      </c>
    </row>
    <row r="107" spans="1:4" x14ac:dyDescent="0.25">
      <c r="A107" t="str">
        <f>T("   481810")</f>
        <v xml:space="preserve">   481810</v>
      </c>
      <c r="B107" t="str">
        <f>T("   Papier hygiénique, en rouleaux d'une largeur &lt;= 36 cm")</f>
        <v xml:space="preserve">   Papier hygiénique, en rouleaux d'une largeur &lt;= 36 cm</v>
      </c>
      <c r="C107">
        <v>5686050</v>
      </c>
      <c r="D107">
        <v>8246</v>
      </c>
    </row>
    <row r="108" spans="1:4" x14ac:dyDescent="0.25">
      <c r="A108" t="str">
        <f>T("   481820")</f>
        <v xml:space="preserve">   481820</v>
      </c>
      <c r="B108" t="str">
        <f>T("   Mouchoirs, serviettes à démaquiller et essuie-mains, en pâte à papier, papier, ouate de cellulose ou nappes de fibres de cellulose")</f>
        <v xml:space="preserve">   Mouchoirs, serviettes à démaquiller et essuie-mains, en pâte à papier, papier, ouate de cellulose ou nappes de fibres de cellulose</v>
      </c>
      <c r="C108">
        <v>185029</v>
      </c>
      <c r="D108">
        <v>648</v>
      </c>
    </row>
    <row r="109" spans="1:4" x14ac:dyDescent="0.25">
      <c r="A109" t="str">
        <f>T("   481840")</f>
        <v xml:space="preserve">   481840</v>
      </c>
      <c r="B109" t="str">
        <f>T("   Serviettes et tampons hygiéniques, couches pour bébés et articles hygiéniques simil., en pâte à papier, papier, ouate de cellulose ou nappes de fibres de cellulose")</f>
        <v xml:space="preserve">   Serviettes et tampons hygiéniques, couches pour bébés et articles hygiéniques simil., en pâte à papier, papier, ouate de cellulose ou nappes de fibres de cellulose</v>
      </c>
      <c r="C109">
        <v>543583</v>
      </c>
      <c r="D109">
        <v>420</v>
      </c>
    </row>
    <row r="110" spans="1:4" x14ac:dyDescent="0.25">
      <c r="A110" t="str">
        <f>T("   482050")</f>
        <v xml:space="preserve">   482050</v>
      </c>
      <c r="B110" t="str">
        <f>T("   Albums pour échantillonnages ou pour collections, en papier ou en carton")</f>
        <v xml:space="preserve">   Albums pour échantillonnages ou pour collections, en papier ou en carton</v>
      </c>
      <c r="C110">
        <v>12020775</v>
      </c>
      <c r="D110">
        <v>23918</v>
      </c>
    </row>
    <row r="111" spans="1:4" x14ac:dyDescent="0.25">
      <c r="A111" t="str">
        <f>T("   482319")</f>
        <v xml:space="preserve">   482319</v>
      </c>
      <c r="B111" t="str">
        <f>T("   Papier gommé ou adhésif, en bandes ou en rouleaux d'une largeur &lt;= 15 cm (à l'excl. des articles auto-adhésifs)")</f>
        <v xml:space="preserve">   Papier gommé ou adhésif, en bandes ou en rouleaux d'une largeur &lt;= 15 cm (à l'excl. des articles auto-adhésifs)</v>
      </c>
      <c r="C111">
        <v>1453098</v>
      </c>
      <c r="D111">
        <v>2720</v>
      </c>
    </row>
    <row r="112" spans="1:4" x14ac:dyDescent="0.25">
      <c r="A112" t="str">
        <f>T("   490199")</f>
        <v xml:space="preserve">   490199</v>
      </c>
      <c r="B112"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112">
        <v>52104763</v>
      </c>
      <c r="D112">
        <v>16169</v>
      </c>
    </row>
    <row r="113" spans="1:4" x14ac:dyDescent="0.25">
      <c r="A113" t="str">
        <f>T("   491110")</f>
        <v xml:space="preserve">   491110</v>
      </c>
      <c r="B113" t="str">
        <f>T("   Imprimés publicitaires, catalogues commerciaux et simil.")</f>
        <v xml:space="preserve">   Imprimés publicitaires, catalogues commerciaux et simil.</v>
      </c>
      <c r="C113">
        <v>10938736</v>
      </c>
      <c r="D113">
        <v>14665</v>
      </c>
    </row>
    <row r="114" spans="1:4" x14ac:dyDescent="0.25">
      <c r="A114" t="str">
        <f>T("   491199")</f>
        <v xml:space="preserve">   491199</v>
      </c>
      <c r="B114" t="str">
        <f>T("   Imprimés, n.d.a.")</f>
        <v xml:space="preserve">   Imprimés, n.d.a.</v>
      </c>
      <c r="C114">
        <v>273798</v>
      </c>
      <c r="D114">
        <v>185</v>
      </c>
    </row>
    <row r="115" spans="1:4" x14ac:dyDescent="0.25">
      <c r="A115" t="str">
        <f>T("   520829")</f>
        <v xml:space="preserve">   520829</v>
      </c>
      <c r="B115" t="str">
        <f>T("   Tissus de coton, blanchis, contenant &gt;= 85% en poids de coton, d'un poids &lt;= 200 g/m² (à l'excl. des tissus à armure toile ou à armure sergé [y.c. le croisé] d'un rapport d'armure &lt;= 4)")</f>
        <v xml:space="preserve">   Tissus de coton, blanchis, contenant &gt;= 85% en poids de coton, d'un poids &lt;= 200 g/m² (à l'excl. des tissus à armure toile ou à armure sergé [y.c. le croisé] d'un rapport d'armure &lt;= 4)</v>
      </c>
      <c r="C115">
        <v>12000000</v>
      </c>
      <c r="D115">
        <v>17480</v>
      </c>
    </row>
    <row r="116" spans="1:4" x14ac:dyDescent="0.25">
      <c r="A116" t="str">
        <f>T("   520852")</f>
        <v xml:space="preserve">   520852</v>
      </c>
      <c r="B116" t="str">
        <f>T("   Tissus de coton, imprimés, à armure toile, contenant &gt;= 85% en poids de coton, d'un poids &gt; 100 g/m² mais &lt;= 200 g/m²")</f>
        <v xml:space="preserve">   Tissus de coton, imprimés, à armure toile, contenant &gt;= 85% en poids de coton, d'un poids &gt; 100 g/m² mais &lt;= 200 g/m²</v>
      </c>
      <c r="C116">
        <v>24146198</v>
      </c>
      <c r="D116">
        <v>27278</v>
      </c>
    </row>
    <row r="117" spans="1:4" x14ac:dyDescent="0.25">
      <c r="A117" t="str">
        <f>T("   520859")</f>
        <v xml:space="preserve">   520859</v>
      </c>
      <c r="B117" t="str">
        <f>T("   TISSUS DE COTON, IMPRIMÉS, CONTENANT &gt;= 85% EN POIDS DE COTON, D'UN POIDS &lt;= 200 G/M² (À L'EXCL. DES TISSUS À ARMURE TOILE)")</f>
        <v xml:space="preserve">   TISSUS DE COTON, IMPRIMÉS, CONTENANT &gt;= 85% EN POIDS DE COTON, D'UN POIDS &lt;= 200 G/M² (À L'EXCL. DES TISSUS À ARMURE TOILE)</v>
      </c>
      <c r="C117">
        <v>14920727</v>
      </c>
      <c r="D117">
        <v>19995</v>
      </c>
    </row>
    <row r="118" spans="1:4" x14ac:dyDescent="0.25">
      <c r="A118" t="str">
        <f>T("   551313")</f>
        <v xml:space="preserve">   551313</v>
      </c>
      <c r="B118" t="s">
        <v>230</v>
      </c>
      <c r="C118">
        <v>15140270</v>
      </c>
      <c r="D118">
        <v>20700</v>
      </c>
    </row>
    <row r="119" spans="1:4" x14ac:dyDescent="0.25">
      <c r="A119" t="str">
        <f>T("   560121")</f>
        <v xml:space="preserve">   560121</v>
      </c>
      <c r="B119" t="s">
        <v>241</v>
      </c>
      <c r="C119">
        <v>446755</v>
      </c>
      <c r="D119">
        <v>570</v>
      </c>
    </row>
    <row r="120" spans="1:4" x14ac:dyDescent="0.25">
      <c r="A120" t="str">
        <f>T("   570190")</f>
        <v xml:space="preserve">   570190</v>
      </c>
      <c r="B120" t="str">
        <f>T("   Tapis en matières textiles, à points noués ou enroulés, même confectionnés (à l'excl. des tapis de laine ou de poils fins)")</f>
        <v xml:space="preserve">   Tapis en matières textiles, à points noués ou enroulés, même confectionnés (à l'excl. des tapis de laine ou de poils fins)</v>
      </c>
      <c r="C120">
        <v>3937806</v>
      </c>
      <c r="D120">
        <v>12500</v>
      </c>
    </row>
    <row r="121" spans="1:4" x14ac:dyDescent="0.25">
      <c r="A121" t="str">
        <f>T("   610319")</f>
        <v xml:space="preserve">   610319</v>
      </c>
      <c r="B121" t="str">
        <f>T("   Costumes ou complets en bonneterie, de matières textiles, pour hommes ou garçonnets (sauf de laine, poils fins ou fibres synthétiques et sauf survêtements de sport 'trainings', combinaisons et ensembles de ski, maillots, culottes et slips de bain)")</f>
        <v xml:space="preserve">   Costumes ou complets en bonneterie, de matières textiles, pour hommes ou garçonnets (sauf de laine, poils fins ou fibres synthétiques et sauf survêtements de sport 'trainings', combinaisons et ensembles de ski, maillots, culottes et slips de bain)</v>
      </c>
      <c r="C121">
        <v>1590004</v>
      </c>
      <c r="D121">
        <v>4200</v>
      </c>
    </row>
    <row r="122" spans="1:4" x14ac:dyDescent="0.25">
      <c r="A122" t="str">
        <f>T("   610990")</f>
        <v xml:space="preserve">   610990</v>
      </c>
      <c r="B122" t="str">
        <f>T("   T-shirts et maillots de corps, en bonneterie, de matières textiles (sauf de coton)")</f>
        <v xml:space="preserve">   T-shirts et maillots de corps, en bonneterie, de matières textiles (sauf de coton)</v>
      </c>
      <c r="C122">
        <v>505895</v>
      </c>
      <c r="D122">
        <v>550</v>
      </c>
    </row>
    <row r="123" spans="1:4" x14ac:dyDescent="0.25">
      <c r="A123" t="str">
        <f>T("   611610")</f>
        <v xml:space="preserve">   611610</v>
      </c>
      <c r="B123" t="str">
        <f>T("   Gants, mitaines et moufles, en bonneterie, imprégnés, enduits ou recouverts de matières plastiques ou de caoutchouc (sauf pour bébés)")</f>
        <v xml:space="preserve">   Gants, mitaines et moufles, en bonneterie, imprégnés, enduits ou recouverts de matières plastiques ou de caoutchouc (sauf pour bébés)</v>
      </c>
      <c r="C123">
        <v>632907</v>
      </c>
      <c r="D123">
        <v>60</v>
      </c>
    </row>
    <row r="124" spans="1:4" x14ac:dyDescent="0.25">
      <c r="A124" t="str">
        <f>T("   620329")</f>
        <v xml:space="preserve">   620329</v>
      </c>
      <c r="B124" t="str">
        <f>T("   ENSEMBLES DE MATIÈRES TEXTILES, POUR HOMMES OU GARÇONNETS (AUTRES QUE DE COTON OU FIBRES SYNTHÉTIQUES, AUTRES QU'EN BONNETERIE ET SAUF ENSEMBLES DE SKI ET MAILLOTS, CULOTTES ET SLIPS DE BAIN)")</f>
        <v xml:space="preserve">   ENSEMBLES DE MATIÈRES TEXTILES, POUR HOMMES OU GARÇONNETS (AUTRES QUE DE COTON OU FIBRES SYNTHÉTIQUES, AUTRES QU'EN BONNETERIE ET SAUF ENSEMBLES DE SKI ET MAILLOTS, CULOTTES ET SLIPS DE BAIN)</v>
      </c>
      <c r="C124">
        <v>532856</v>
      </c>
      <c r="D124">
        <v>3000</v>
      </c>
    </row>
    <row r="125" spans="1:4" x14ac:dyDescent="0.25">
      <c r="A125" t="str">
        <f>T("   620590")</f>
        <v xml:space="preserve">   620590</v>
      </c>
      <c r="B125"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125">
        <v>819648</v>
      </c>
      <c r="D125">
        <v>980</v>
      </c>
    </row>
    <row r="126" spans="1:4" x14ac:dyDescent="0.25">
      <c r="A126" t="str">
        <f>T("   620990")</f>
        <v xml:space="preserve">   620990</v>
      </c>
      <c r="B126" t="str">
        <f>T("   VÊTEMENTS ET ACCESSOIRES DU VÊTEMENT, DE MATIÈRES TEXTILES, POUR BÉBÉS (AUTRES QUE DE COTON, FIBRES SYNTHÉTIQUES, AUTRES QU'EN BONNETERIE ET SAUF BONNETS)")</f>
        <v xml:space="preserve">   VÊTEMENTS ET ACCESSOIRES DU VÊTEMENT, DE MATIÈRES TEXTILES, POUR BÉBÉS (AUTRES QUE DE COTON, FIBRES SYNTHÉTIQUES, AUTRES QU'EN BONNETERIE ET SAUF BONNETS)</v>
      </c>
      <c r="C126">
        <v>390670</v>
      </c>
      <c r="D126">
        <v>5543</v>
      </c>
    </row>
    <row r="127" spans="1:4" x14ac:dyDescent="0.25">
      <c r="A127" t="str">
        <f>T("   621133")</f>
        <v xml:space="preserve">   621133</v>
      </c>
      <c r="B127" t="str">
        <f>T("   Survêtements de sport 'trainings' et autres vêtements n.d.a., de fibres synthétiques ou artificielles, pour hommes ou garçonnets (autres qu'en bonneterie)")</f>
        <v xml:space="preserve">   Survêtements de sport 'trainings' et autres vêtements n.d.a., de fibres synthétiques ou artificielles, pour hommes ou garçonnets (autres qu'en bonneterie)</v>
      </c>
      <c r="C127">
        <v>1637785</v>
      </c>
      <c r="D127">
        <v>311</v>
      </c>
    </row>
    <row r="128" spans="1:4" x14ac:dyDescent="0.25">
      <c r="A128" t="str">
        <f>T("   630260")</f>
        <v xml:space="preserve">   630260</v>
      </c>
      <c r="B128" t="str">
        <f>T("   Linge de toilette ou de cuisine, bouclé du genre éponge, de coton (sauf serpillières, chiffons à parquet, lavettes et chamoisettes)")</f>
        <v xml:space="preserve">   Linge de toilette ou de cuisine, bouclé du genre éponge, de coton (sauf serpillières, chiffons à parquet, lavettes et chamoisettes)</v>
      </c>
      <c r="C128">
        <v>514343</v>
      </c>
      <c r="D128">
        <v>4436</v>
      </c>
    </row>
    <row r="129" spans="1:4" x14ac:dyDescent="0.25">
      <c r="A129" t="str">
        <f>T("   630399")</f>
        <v xml:space="preserve">   630399</v>
      </c>
      <c r="B129" t="str">
        <f>T("   Vitrages, rideaux et stores d'intérieur ainsi que cantonnières et tours de lit, de matières textiles (autres que de coton et fibres synthétiques, autres qu'en bonneterie et autres que stores d'extérieur)")</f>
        <v xml:space="preserve">   Vitrages, rideaux et stores d'intérieur ainsi que cantonnières et tours de lit, de matières textiles (autres que de coton et fibres synthétiques, autres qu'en bonneterie et autres que stores d'extérieur)</v>
      </c>
      <c r="C129">
        <v>305825</v>
      </c>
      <c r="D129">
        <v>2407</v>
      </c>
    </row>
    <row r="130" spans="1:4" x14ac:dyDescent="0.25">
      <c r="A130" t="str">
        <f>T("   630533")</f>
        <v xml:space="preserve">   630533</v>
      </c>
      <c r="B130" t="str">
        <f>T("   Sacs et sachets d'emballage obtenus à partir de lames ou formes simil., de polyéthylène ou polypropylène (à l'excl. des contenants souples pour matières en vrac)")</f>
        <v xml:space="preserve">   Sacs et sachets d'emballage obtenus à partir de lames ou formes simil., de polyéthylène ou polypropylène (à l'excl. des contenants souples pour matières en vrac)</v>
      </c>
      <c r="C130">
        <v>3157514</v>
      </c>
      <c r="D130">
        <v>6040</v>
      </c>
    </row>
    <row r="131" spans="1:4" x14ac:dyDescent="0.25">
      <c r="A131" t="str">
        <f>T("   630629")</f>
        <v xml:space="preserve">   630629</v>
      </c>
      <c r="B131" t="str">
        <f>T("   Tentes de matières textiles (autres que de coton ou fibres synthétiques et sauf paravents)")</f>
        <v xml:space="preserve">   Tentes de matières textiles (autres que de coton ou fibres synthétiques et sauf paravents)</v>
      </c>
      <c r="C131">
        <v>15000</v>
      </c>
      <c r="D131">
        <v>200</v>
      </c>
    </row>
    <row r="132" spans="1:4" x14ac:dyDescent="0.25">
      <c r="A132" t="str">
        <f>T("   630900")</f>
        <v xml:space="preserve">   630900</v>
      </c>
      <c r="B132" t="s">
        <v>280</v>
      </c>
      <c r="C132">
        <v>190436639</v>
      </c>
      <c r="D132">
        <v>344695</v>
      </c>
    </row>
    <row r="133" spans="1:4" x14ac:dyDescent="0.25">
      <c r="A133" t="str">
        <f>T("   631090")</f>
        <v xml:space="preserve">   631090</v>
      </c>
      <c r="B133" t="str">
        <f>T("   Chiffons en tous types de matières textiles ainsi que ficelles, cordes et cordages et articles composés de ceux-ci, de matières textiles, sous forme de déchets ou d'articles hors d'usage, non triés")</f>
        <v xml:space="preserve">   Chiffons en tous types de matières textiles ainsi que ficelles, cordes et cordages et articles composés de ceux-ci, de matières textiles, sous forme de déchets ou d'articles hors d'usage, non triés</v>
      </c>
      <c r="C133">
        <v>3000252</v>
      </c>
      <c r="D133">
        <v>5565</v>
      </c>
    </row>
    <row r="134" spans="1:4" x14ac:dyDescent="0.25">
      <c r="A134" t="str">
        <f>T("   640299")</f>
        <v xml:space="preserve">   640299</v>
      </c>
      <c r="B134" t="s">
        <v>285</v>
      </c>
      <c r="C134">
        <v>40160</v>
      </c>
      <c r="D134">
        <v>175</v>
      </c>
    </row>
    <row r="135" spans="1:4" x14ac:dyDescent="0.25">
      <c r="A135" t="str">
        <f>T("   640340")</f>
        <v xml:space="preserve">   640340</v>
      </c>
      <c r="B135" t="str">
        <f>T("   Chaussures, à semelles extérieures en caoutchouc, matière plastique, cuir naturel ou reconstitué et dessus en cuir naturel, comportant à l'avant une coquille de protection en métal (sauf chaussures de sport ou d'orthopédie)")</f>
        <v xml:space="preserve">   Chaussures, à semelles extérieures en caoutchouc, matière plastique, cuir naturel ou reconstitué et dessus en cuir naturel, comportant à l'avant une coquille de protection en métal (sauf chaussures de sport ou d'orthopédie)</v>
      </c>
      <c r="C135">
        <v>5632527</v>
      </c>
      <c r="D135">
        <v>1250</v>
      </c>
    </row>
    <row r="136" spans="1:4" x14ac:dyDescent="0.25">
      <c r="A136" t="str">
        <f>T("   640590")</f>
        <v xml:space="preserve">   640590</v>
      </c>
      <c r="B136" t="s">
        <v>290</v>
      </c>
      <c r="C136">
        <v>20000</v>
      </c>
      <c r="D136">
        <v>30</v>
      </c>
    </row>
    <row r="137" spans="1:4" x14ac:dyDescent="0.25">
      <c r="A137" t="str">
        <f>T("   650590")</f>
        <v xml:space="preserve">   650590</v>
      </c>
      <c r="B137" t="s">
        <v>291</v>
      </c>
      <c r="C137">
        <v>255000</v>
      </c>
      <c r="D137">
        <v>47</v>
      </c>
    </row>
    <row r="138" spans="1:4" x14ac:dyDescent="0.25">
      <c r="A138" t="str">
        <f>T("   650610")</f>
        <v xml:space="preserve">   650610</v>
      </c>
      <c r="B138" t="str">
        <f>T("   Coiffures de sécurité, même garnies")</f>
        <v xml:space="preserve">   Coiffures de sécurité, même garnies</v>
      </c>
      <c r="C138">
        <v>1671807</v>
      </c>
      <c r="D138">
        <v>624</v>
      </c>
    </row>
    <row r="139" spans="1:4" x14ac:dyDescent="0.25">
      <c r="A139" t="str">
        <f>T("   660110")</f>
        <v xml:space="preserve">   660110</v>
      </c>
      <c r="B139" t="str">
        <f>T("   Parasols de jardin et articles simil. (sauf tentes de plage)")</f>
        <v xml:space="preserve">   Parasols de jardin et articles simil. (sauf tentes de plage)</v>
      </c>
      <c r="C139">
        <v>233270</v>
      </c>
      <c r="D139">
        <v>127</v>
      </c>
    </row>
    <row r="140" spans="1:4" x14ac:dyDescent="0.25">
      <c r="A140" t="str">
        <f>T("   660199")</f>
        <v xml:space="preserve">   660199</v>
      </c>
      <c r="B140" t="str">
        <f>T("   Parapluies, y.c. les parapluies-cannes et ombrelles (sauf parapluies et ombrelles à mât ou à manche télescopique, parasols de jardin et articles simil. et sauf jouets d'enfants)")</f>
        <v xml:space="preserve">   Parapluies, y.c. les parapluies-cannes et ombrelles (sauf parapluies et ombrelles à mât ou à manche télescopique, parasols de jardin et articles simil. et sauf jouets d'enfants)</v>
      </c>
      <c r="C140">
        <v>367947</v>
      </c>
      <c r="D140">
        <v>125</v>
      </c>
    </row>
    <row r="141" spans="1:4" x14ac:dyDescent="0.25">
      <c r="A141" t="str">
        <f>T("   660320")</f>
        <v xml:space="preserve">   660320</v>
      </c>
      <c r="B141" t="str">
        <f>T("   Montures assemblées, même avec mâts ou manches, reconnaissables comme étant destinées aux parapluies, ombrelles ou parasols du n° 6601")</f>
        <v xml:space="preserve">   Montures assemblées, même avec mâts ou manches, reconnaissables comme étant destinées aux parapluies, ombrelles ou parasols du n° 6601</v>
      </c>
      <c r="C141">
        <v>3395878</v>
      </c>
      <c r="D141">
        <v>3582</v>
      </c>
    </row>
    <row r="142" spans="1:4" x14ac:dyDescent="0.25">
      <c r="A142" t="str">
        <f>T("   670290")</f>
        <v xml:space="preserve">   670290</v>
      </c>
      <c r="B142" t="str">
        <f>T("   Fleurs, feuillages et fruits artificiels, y.c. leurs parties; articles confectionnés en fleurs, feuillages ou fruits artificiels fabriqués par ligature, collage, emboîtage ou procédés simil. (autres qu'en matière plastique)")</f>
        <v xml:space="preserve">   Fleurs, feuillages et fruits artificiels, y.c. leurs parties; articles confectionnés en fleurs, feuillages ou fruits artificiels fabriqués par ligature, collage, emboîtage ou procédés simil. (autres qu'en matière plastique)</v>
      </c>
      <c r="C142">
        <v>648834</v>
      </c>
      <c r="D142">
        <v>2746</v>
      </c>
    </row>
    <row r="143" spans="1:4" x14ac:dyDescent="0.25">
      <c r="A143" t="str">
        <f>T("   680221")</f>
        <v xml:space="preserve">   680221</v>
      </c>
      <c r="B143" t="s">
        <v>294</v>
      </c>
      <c r="C143">
        <v>4368168</v>
      </c>
      <c r="D143">
        <v>18000</v>
      </c>
    </row>
    <row r="144" spans="1:4" x14ac:dyDescent="0.25">
      <c r="A144" t="str">
        <f>T("   680291")</f>
        <v xml:space="preserve">   680291</v>
      </c>
      <c r="B144" t="s">
        <v>296</v>
      </c>
      <c r="C144">
        <v>179277</v>
      </c>
      <c r="D144">
        <v>855</v>
      </c>
    </row>
    <row r="145" spans="1:4" x14ac:dyDescent="0.25">
      <c r="A145" t="str">
        <f>T("   680610")</f>
        <v xml:space="preserve">   680610</v>
      </c>
      <c r="B145" t="str">
        <f>T("   Laines de laitier, de scories, de roche et laines minérales simil., même mélangées entre elles, en masses, feuilles ou rouleaux")</f>
        <v xml:space="preserve">   Laines de laitier, de scories, de roche et laines minérales simil., même mélangées entre elles, en masses, feuilles ou rouleaux</v>
      </c>
      <c r="C145">
        <v>1834430</v>
      </c>
      <c r="D145">
        <v>314</v>
      </c>
    </row>
    <row r="146" spans="1:4" x14ac:dyDescent="0.25">
      <c r="A146" t="str">
        <f>T("   681120")</f>
        <v xml:space="preserve">   681120</v>
      </c>
      <c r="B146" t="str">
        <f>T("   Plaques, panneaux, carreaux, tuiles et articles simil., en amiante-ciment, cellulose-ciment ou simil. (sauf plaques ondulées)")</f>
        <v xml:space="preserve">   Plaques, panneaux, carreaux, tuiles et articles simil., en amiante-ciment, cellulose-ciment ou simil. (sauf plaques ondulées)</v>
      </c>
      <c r="C146">
        <v>1820070</v>
      </c>
      <c r="D146">
        <v>9690</v>
      </c>
    </row>
    <row r="147" spans="1:4" x14ac:dyDescent="0.25">
      <c r="A147" t="str">
        <f>T("   690710")</f>
        <v xml:space="preserve">   690710</v>
      </c>
      <c r="B147" t="str">
        <f>T("   Carreaux, cubes, dés et articles simil., en céramique, pour mosaïques, non vernissés ni émaillés, même de forme autre que carrée ou rectangulaire, dont la plus grande surface peut être inscrite dans un carré de côté &lt; 7 cm, même sur support")</f>
        <v xml:space="preserve">   Carreaux, cubes, dés et articles simil., en céramique, pour mosaïques, non vernissés ni émaillés, même de forme autre que carrée ou rectangulaire, dont la plus grande surface peut être inscrite dans un carré de côté &lt; 7 cm, même sur support</v>
      </c>
      <c r="C147">
        <v>8738000</v>
      </c>
      <c r="D147">
        <v>42240</v>
      </c>
    </row>
    <row r="148" spans="1:4" x14ac:dyDescent="0.25">
      <c r="A148" t="str">
        <f>T("   690890")</f>
        <v xml:space="preserve">   690890</v>
      </c>
      <c r="B148" t="s">
        <v>311</v>
      </c>
      <c r="C148">
        <v>126548793</v>
      </c>
      <c r="D148">
        <v>1139000</v>
      </c>
    </row>
    <row r="149" spans="1:4" x14ac:dyDescent="0.25">
      <c r="A149" t="str">
        <f>T("   691010")</f>
        <v xml:space="preserve">   691010</v>
      </c>
      <c r="B149" t="s">
        <v>312</v>
      </c>
      <c r="C149">
        <v>6666932</v>
      </c>
      <c r="D149">
        <v>26580</v>
      </c>
    </row>
    <row r="150" spans="1:4" x14ac:dyDescent="0.25">
      <c r="A150" t="str">
        <f>T("   691090")</f>
        <v xml:space="preserve">   691090</v>
      </c>
      <c r="B150" t="s">
        <v>313</v>
      </c>
      <c r="C150">
        <v>23202059</v>
      </c>
      <c r="D150">
        <v>76881</v>
      </c>
    </row>
    <row r="151" spans="1:4" x14ac:dyDescent="0.25">
      <c r="A151" t="str">
        <f>T("   691110")</f>
        <v xml:space="preserve">   691110</v>
      </c>
      <c r="B151" t="s">
        <v>314</v>
      </c>
      <c r="C151">
        <v>462141</v>
      </c>
      <c r="D151">
        <v>1366</v>
      </c>
    </row>
    <row r="152" spans="1:4" x14ac:dyDescent="0.25">
      <c r="A152" t="str">
        <f>T("   691410")</f>
        <v xml:space="preserve">   691410</v>
      </c>
      <c r="B152" t="str">
        <f>T("   Ouvrages en porcelaine n.d.a.")</f>
        <v xml:space="preserve">   Ouvrages en porcelaine n.d.a.</v>
      </c>
      <c r="C152">
        <v>10148298</v>
      </c>
      <c r="D152">
        <v>110532</v>
      </c>
    </row>
    <row r="153" spans="1:4" x14ac:dyDescent="0.25">
      <c r="A153" t="str">
        <f>T("   700319")</f>
        <v xml:space="preserve">   700319</v>
      </c>
      <c r="B153" t="str">
        <f>T("   PLAQUES ET FEUILLES EN VERRE DIT 'COULÉ', MAIS NON AUTREMENT TRAVAILLÉ (AUTRES QUE COLORÉES DANS LA MASSE, OPACIFIÉES, PLAQUÉES [DOUBLÉES], OU À COUCHE RÉFLÉCHISSANTE OU NON-RÉFLÉCHISSANTE ET SAUF EN VERRE ARMÉ)")</f>
        <v xml:space="preserve">   PLAQUES ET FEUILLES EN VERRE DIT 'COULÉ', MAIS NON AUTREMENT TRAVAILLÉ (AUTRES QUE COLORÉES DANS LA MASSE, OPACIFIÉES, PLAQUÉES [DOUBLÉES], OU À COUCHE RÉFLÉCHISSANTE OU NON-RÉFLÉCHISSANTE ET SAUF EN VERRE ARMÉ)</v>
      </c>
      <c r="C153">
        <v>3786865</v>
      </c>
      <c r="D153">
        <v>10000</v>
      </c>
    </row>
    <row r="154" spans="1:4" x14ac:dyDescent="0.25">
      <c r="A154" t="str">
        <f>T("   700529")</f>
        <v xml:space="preserve">   700529</v>
      </c>
      <c r="B154" t="s">
        <v>318</v>
      </c>
      <c r="C154">
        <v>520258</v>
      </c>
      <c r="D154">
        <v>3505</v>
      </c>
    </row>
    <row r="155" spans="1:4" x14ac:dyDescent="0.25">
      <c r="A155" t="str">
        <f>T("   700719")</f>
        <v xml:space="preserve">   700719</v>
      </c>
      <c r="B155" t="s">
        <v>320</v>
      </c>
      <c r="C155">
        <v>34525692</v>
      </c>
      <c r="D155">
        <v>32469</v>
      </c>
    </row>
    <row r="156" spans="1:4" x14ac:dyDescent="0.25">
      <c r="A156" t="str">
        <f>T("   700992")</f>
        <v xml:space="preserve">   700992</v>
      </c>
      <c r="B156" t="str">
        <f>T("   Miroirs, en verre encadrés (sauf miroirs rétroviseurs pour véhicules)")</f>
        <v xml:space="preserve">   Miroirs, en verre encadrés (sauf miroirs rétroviseurs pour véhicules)</v>
      </c>
      <c r="C156">
        <v>850305</v>
      </c>
      <c r="D156">
        <v>2444</v>
      </c>
    </row>
    <row r="157" spans="1:4" x14ac:dyDescent="0.25">
      <c r="A157" t="str">
        <f>T("   701329")</f>
        <v xml:space="preserve">   701329</v>
      </c>
      <c r="B157" t="str">
        <f>T("   Verres à boire (autres qu'en vitrocérame, autres qu'en cristal au plomb)")</f>
        <v xml:space="preserve">   Verres à boire (autres qu'en vitrocérame, autres qu'en cristal au plomb)</v>
      </c>
      <c r="C157">
        <v>4363324</v>
      </c>
      <c r="D157">
        <v>8479</v>
      </c>
    </row>
    <row r="158" spans="1:4" x14ac:dyDescent="0.25">
      <c r="A158" t="str">
        <f>T("   701339")</f>
        <v xml:space="preserve">   701339</v>
      </c>
      <c r="B158" t="s">
        <v>327</v>
      </c>
      <c r="C158">
        <v>5436</v>
      </c>
      <c r="D158">
        <v>16</v>
      </c>
    </row>
    <row r="159" spans="1:4" x14ac:dyDescent="0.25">
      <c r="A159" t="str">
        <f>T("   701399")</f>
        <v xml:space="preserve">   701399</v>
      </c>
      <c r="B159" t="s">
        <v>328</v>
      </c>
      <c r="C159">
        <v>3242803</v>
      </c>
      <c r="D159">
        <v>9900</v>
      </c>
    </row>
    <row r="160" spans="1:4" x14ac:dyDescent="0.25">
      <c r="A160" t="str">
        <f>T("   702000")</f>
        <v xml:space="preserve">   702000</v>
      </c>
      <c r="B160" t="str">
        <f>T("   Ouvrages en verre n.d.a.")</f>
        <v xml:space="preserve">   Ouvrages en verre n.d.a.</v>
      </c>
      <c r="C160">
        <v>546939</v>
      </c>
      <c r="D160">
        <v>851</v>
      </c>
    </row>
    <row r="161" spans="1:4" x14ac:dyDescent="0.25">
      <c r="A161" t="str">
        <f>T("   720839")</f>
        <v xml:space="preserve">   720839</v>
      </c>
      <c r="B161" t="str">
        <f>T("   PRODUITS LAMINÉS PLATS, EN FER OU EN ACIERS NON ALLIÉS, D'UNE LARGEUR &gt;= 600 MM, ENROULÉS, SIMPLEMENT LAMINÉS À CHAUD, NON PLAQUÉS NI REVÊTUS, ÉPAISSEUR &lt; 3 MM (SANS MOTIFS EN RELIEF, ET AUTRES QUE DÉCAPÉS)")</f>
        <v xml:space="preserve">   PRODUITS LAMINÉS PLATS, EN FER OU EN ACIERS NON ALLIÉS, D'UNE LARGEUR &gt;= 600 MM, ENROULÉS, SIMPLEMENT LAMINÉS À CHAUD, NON PLAQUÉS NI REVÊTUS, ÉPAISSEUR &lt; 3 MM (SANS MOTIFS EN RELIEF, ET AUTRES QUE DÉCAPÉS)</v>
      </c>
      <c r="C161">
        <v>635588506</v>
      </c>
      <c r="D161">
        <v>1667980</v>
      </c>
    </row>
    <row r="162" spans="1:4" x14ac:dyDescent="0.25">
      <c r="A162" t="str">
        <f>T("   720917")</f>
        <v xml:space="preserve">   720917</v>
      </c>
      <c r="B162" t="str">
        <f>T("   PRODUITS LAMINÉS PLATS, EN FER OU EN ACIERS NON-ALLIÉS, D'UNE LARGEUR &gt;= 600 MM, NON-PLAQUÉS NI REVÊTUS, ENROULÉS, SIMPL. LAMINÉS À FROID, D'UNE ÉPAISSEUR &gt;= 0,5 MM MAIS &lt;= 1 MM")</f>
        <v xml:space="preserve">   PRODUITS LAMINÉS PLATS, EN FER OU EN ACIERS NON-ALLIÉS, D'UNE LARGEUR &gt;= 600 MM, NON-PLAQUÉS NI REVÊTUS, ENROULÉS, SIMPL. LAMINÉS À FROID, D'UNE ÉPAISSEUR &gt;= 0,5 MM MAIS &lt;= 1 MM</v>
      </c>
      <c r="C162">
        <v>726282848</v>
      </c>
      <c r="D162">
        <v>1832860</v>
      </c>
    </row>
    <row r="163" spans="1:4" x14ac:dyDescent="0.25">
      <c r="A163" t="str">
        <f>T("   721391")</f>
        <v xml:space="preserve">   721391</v>
      </c>
      <c r="B163" t="str">
        <f>T("   FIL MACHINE EN FER OU ACIERS NON-ALLIÉS, ENROULÉ EN COURONNES IRRÉGULIÈRES, DE SECTION CIRCULAIRE DE DIAMÈTRE &lt; 14 MM (AUTRE QU'EN ACIERS DE DÉCOLLETAGE ET AUTRE QUE FIL MACHINE AVEC INDENTATIONS, BOURRELETS, CREUX OU RELIEFS OBTENUS LORS DU LAMINAGE)")</f>
        <v xml:space="preserve">   FIL MACHINE EN FER OU ACIERS NON-ALLIÉS, ENROULÉ EN COURONNES IRRÉGULIÈRES, DE SECTION CIRCULAIRE DE DIAMÈTRE &lt; 14 MM (AUTRE QU'EN ACIERS DE DÉCOLLETAGE ET AUTRE QUE FIL MACHINE AVEC INDENTATIONS, BOURRELETS, CREUX OU RELIEFS OBTENUS LORS DU LAMINAGE)</v>
      </c>
      <c r="C163">
        <v>1139550032</v>
      </c>
      <c r="D163">
        <v>3013086</v>
      </c>
    </row>
    <row r="164" spans="1:4" x14ac:dyDescent="0.25">
      <c r="A164" t="str">
        <f>T("   721420")</f>
        <v xml:space="preserve">   721420</v>
      </c>
      <c r="B164" t="str">
        <f>T("   BARRES EN FER OU EN ACIERS NON ALLIÉS, COMPORTANT DES INDENTATIONS, BOURRELETS, CREUX OU RELIEFS OBTENUS AU COURS DU LAMINAGE OU AYANT SUBI UNE TORSION APRÈS LAMINAGE")</f>
        <v xml:space="preserve">   BARRES EN FER OU EN ACIERS NON ALLIÉS, COMPORTANT DES INDENTATIONS, BOURRELETS, CREUX OU RELIEFS OBTENUS AU COURS DU LAMINAGE OU AYANT SUBI UNE TORSION APRÈS LAMINAGE</v>
      </c>
      <c r="C164">
        <v>37635326</v>
      </c>
      <c r="D164">
        <v>111410</v>
      </c>
    </row>
    <row r="165" spans="1:4" x14ac:dyDescent="0.25">
      <c r="A165" t="str">
        <f>T("   730490")</f>
        <v xml:space="preserve">   730490</v>
      </c>
      <c r="B165" t="str">
        <f>T("   Tubes, tuyaux et profilés creux, sans soudure, de section autre que circulaire, en fer (à l'excl. de la fonte) ou en acier")</f>
        <v xml:space="preserve">   Tubes, tuyaux et profilés creux, sans soudure, de section autre que circulaire, en fer (à l'excl. de la fonte) ou en acier</v>
      </c>
      <c r="C165">
        <v>14381</v>
      </c>
      <c r="D165">
        <v>22</v>
      </c>
    </row>
    <row r="166" spans="1:4" x14ac:dyDescent="0.25">
      <c r="A166" t="str">
        <f>T("   730830")</f>
        <v xml:space="preserve">   730830</v>
      </c>
      <c r="B166" t="str">
        <f>T("   Portes, fenêtres et leurs cadres et chambranles ainsi que leurs seuils, en fer ou en acier")</f>
        <v xml:space="preserve">   Portes, fenêtres et leurs cadres et chambranles ainsi que leurs seuils, en fer ou en acier</v>
      </c>
      <c r="C166">
        <v>35000</v>
      </c>
      <c r="D166">
        <v>200</v>
      </c>
    </row>
    <row r="167" spans="1:4" x14ac:dyDescent="0.25">
      <c r="A167" t="str">
        <f>T("   731029")</f>
        <v xml:space="preserve">   731029</v>
      </c>
      <c r="B167" t="str">
        <f>T("   Réservoirs, fûts, tambours, bidons et récipients simil., en fer ou en acier, pour toutes matières, contenance &lt; 50 l, n.d.a. (sauf pour gaz comprimés ou liquéfiés, sans dispositifs mécaniques ou thermiques et à l'excl. des boîtes)")</f>
        <v xml:space="preserve">   Réservoirs, fûts, tambours, bidons et récipients simil., en fer ou en acier, pour toutes matières, contenance &lt; 50 l, n.d.a. (sauf pour gaz comprimés ou liquéfiés, sans dispositifs mécaniques ou thermiques et à l'excl. des boîtes)</v>
      </c>
      <c r="C167">
        <v>162893</v>
      </c>
      <c r="D167">
        <v>16</v>
      </c>
    </row>
    <row r="168" spans="1:4" x14ac:dyDescent="0.25">
      <c r="A168" t="str">
        <f>T("   731439")</f>
        <v xml:space="preserve">   731439</v>
      </c>
      <c r="B168" t="str">
        <f>T("   Grillages et treillis, en fils de fer ou d'acier, soudés aux points de rencontre (sauf en fils dont la plus grande dimension de la coupe transversale est &gt;= 3 mm avec une surface de mailles &gt;= 100 cm² et autres que zingués)")</f>
        <v xml:space="preserve">   Grillages et treillis, en fils de fer ou d'acier, soudés aux points de rencontre (sauf en fils dont la plus grande dimension de la coupe transversale est &gt;= 3 mm avec une surface de mailles &gt;= 100 cm² et autres que zingués)</v>
      </c>
      <c r="C168">
        <v>1176632</v>
      </c>
      <c r="D168">
        <v>1088</v>
      </c>
    </row>
    <row r="169" spans="1:4" x14ac:dyDescent="0.25">
      <c r="A169" t="str">
        <f>T("   731590")</f>
        <v xml:space="preserve">   731590</v>
      </c>
      <c r="B169" t="str">
        <f>T("   Parties de chaînes et chaînettes antidérapantes, à maillons à étais, et autres chaînes et chaînettes du n° 7315 (sauf de chaînes à maillons articulés)")</f>
        <v xml:space="preserve">   Parties de chaînes et chaînettes antidérapantes, à maillons à étais, et autres chaînes et chaînettes du n° 7315 (sauf de chaînes à maillons articulés)</v>
      </c>
      <c r="C169">
        <v>40670</v>
      </c>
      <c r="D169">
        <v>256</v>
      </c>
    </row>
    <row r="170" spans="1:4" x14ac:dyDescent="0.25">
      <c r="A170" t="str">
        <f>T("   731812")</f>
        <v xml:space="preserve">   731812</v>
      </c>
      <c r="B170" t="str">
        <f>T("   Vis à bois en fonte, fer ou acier (autres que tire-fond)")</f>
        <v xml:space="preserve">   Vis à bois en fonte, fer ou acier (autres que tire-fond)</v>
      </c>
      <c r="C170">
        <v>637478</v>
      </c>
      <c r="D170">
        <v>1</v>
      </c>
    </row>
    <row r="171" spans="1:4" x14ac:dyDescent="0.25">
      <c r="A171" t="str">
        <f>T("   731815")</f>
        <v xml:space="preserve">   731815</v>
      </c>
      <c r="B171" t="s">
        <v>354</v>
      </c>
      <c r="C171">
        <v>485539</v>
      </c>
      <c r="D171">
        <v>923</v>
      </c>
    </row>
    <row r="172" spans="1:4" x14ac:dyDescent="0.25">
      <c r="A172" t="str">
        <f>T("   732111")</f>
        <v xml:space="preserve">   732111</v>
      </c>
      <c r="B172" t="s">
        <v>356</v>
      </c>
      <c r="C172">
        <v>3137345</v>
      </c>
      <c r="D172">
        <v>10417</v>
      </c>
    </row>
    <row r="173" spans="1:4" x14ac:dyDescent="0.25">
      <c r="A173" t="str">
        <f>T("   732393")</f>
        <v xml:space="preserve">   732393</v>
      </c>
      <c r="B173" t="s">
        <v>360</v>
      </c>
      <c r="C173">
        <v>108741</v>
      </c>
      <c r="D173">
        <v>321</v>
      </c>
    </row>
    <row r="174" spans="1:4" x14ac:dyDescent="0.25">
      <c r="A174" t="str">
        <f>T("   732394")</f>
        <v xml:space="preserve">   732394</v>
      </c>
      <c r="B174" t="s">
        <v>361</v>
      </c>
      <c r="C174">
        <v>476696</v>
      </c>
      <c r="D174">
        <v>730</v>
      </c>
    </row>
    <row r="175" spans="1:4" x14ac:dyDescent="0.25">
      <c r="A175" t="str">
        <f>T("   732399")</f>
        <v xml:space="preserve">   732399</v>
      </c>
      <c r="B175" t="s">
        <v>362</v>
      </c>
      <c r="C175">
        <v>14813390</v>
      </c>
      <c r="D175">
        <v>28725</v>
      </c>
    </row>
    <row r="176" spans="1:4" x14ac:dyDescent="0.25">
      <c r="A176" t="str">
        <f>T("   732690")</f>
        <v xml:space="preserve">   732690</v>
      </c>
      <c r="B176"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176">
        <v>4857022</v>
      </c>
      <c r="D176">
        <v>13514</v>
      </c>
    </row>
    <row r="177" spans="1:4" x14ac:dyDescent="0.25">
      <c r="A177" t="str">
        <f>T("   760429")</f>
        <v xml:space="preserve">   760429</v>
      </c>
      <c r="B177" t="str">
        <f>T("   Barres et profilés pleins en alliages d'aluminium, n.d.a.")</f>
        <v xml:space="preserve">   Barres et profilés pleins en alliages d'aluminium, n.d.a.</v>
      </c>
      <c r="C177">
        <v>18226402</v>
      </c>
      <c r="D177">
        <v>19588</v>
      </c>
    </row>
    <row r="178" spans="1:4" x14ac:dyDescent="0.25">
      <c r="A178" t="str">
        <f>T("   760692")</f>
        <v xml:space="preserve">   760692</v>
      </c>
      <c r="B178" t="str">
        <f>T("   Tôles et bandes en alliages d'aluminium, d'une épaisseur &gt; 0,2 mm, de forme autre que carrée ou rectangulaire")</f>
        <v xml:space="preserve">   Tôles et bandes en alliages d'aluminium, d'une épaisseur &gt; 0,2 mm, de forme autre que carrée ou rectangulaire</v>
      </c>
      <c r="C178">
        <v>26997951</v>
      </c>
      <c r="D178">
        <v>24030</v>
      </c>
    </row>
    <row r="179" spans="1:4" x14ac:dyDescent="0.25">
      <c r="A179" t="str">
        <f>T("   760719")</f>
        <v xml:space="preserve">   760719</v>
      </c>
      <c r="B179" t="str">
        <f>T("   Feuilles et bandes minces d'aluminium, sans support, laminées et autrement traitées, d'une épaisseur &lt;= 0,2 mm (sauf feuilles pour le marquage au fer du n° 3212 et sauf feuilles travaillées pour la décoration des sapins de Noël)")</f>
        <v xml:space="preserve">   Feuilles et bandes minces d'aluminium, sans support, laminées et autrement traitées, d'une épaisseur &lt;= 0,2 mm (sauf feuilles pour le marquage au fer du n° 3212 et sauf feuilles travaillées pour la décoration des sapins de Noël)</v>
      </c>
      <c r="C179">
        <v>3115775</v>
      </c>
      <c r="D179">
        <v>1000</v>
      </c>
    </row>
    <row r="180" spans="1:4" x14ac:dyDescent="0.25">
      <c r="A180" t="str">
        <f>T("   761010")</f>
        <v xml:space="preserve">   761010</v>
      </c>
      <c r="B180" t="str">
        <f>T("   Portes, fenêtres et leurs cadres, chambranles et seuils, en aluminium (sauf pièces de garnissage)")</f>
        <v xml:space="preserve">   Portes, fenêtres et leurs cadres, chambranles et seuils, en aluminium (sauf pièces de garnissage)</v>
      </c>
      <c r="C180">
        <v>22103879</v>
      </c>
      <c r="D180">
        <v>30742</v>
      </c>
    </row>
    <row r="181" spans="1:4" x14ac:dyDescent="0.25">
      <c r="A181" t="str">
        <f>T("   761090")</f>
        <v xml:space="preserve">   761090</v>
      </c>
      <c r="B181" t="str">
        <f>T("   Constructions et parties de constructions, en aluminium, n.d.a., ainsi que tôles, barres, profilés, tubes, tuyaux et simil., en aluminium, n.d.a; (sauf constructions préfabriquées du n° 9406, portes, fenêtres et leurs cadres, chambranles et seuils)")</f>
        <v xml:space="preserve">   Constructions et parties de constructions, en aluminium, n.d.a., ainsi que tôles, barres, profilés, tubes, tuyaux et simil., en aluminium, n.d.a; (sauf constructions préfabriquées du n° 9406, portes, fenêtres et leurs cadres, chambranles et seuils)</v>
      </c>
      <c r="C181">
        <v>28593839</v>
      </c>
      <c r="D181">
        <v>15453.29</v>
      </c>
    </row>
    <row r="182" spans="1:4" x14ac:dyDescent="0.25">
      <c r="A182" t="str">
        <f>T("   761519")</f>
        <v xml:space="preserve">   761519</v>
      </c>
      <c r="B182" t="s">
        <v>367</v>
      </c>
      <c r="C182">
        <v>1893323</v>
      </c>
      <c r="D182">
        <v>5807</v>
      </c>
    </row>
    <row r="183" spans="1:4" x14ac:dyDescent="0.25">
      <c r="A183" t="str">
        <f>T("   761699")</f>
        <v xml:space="preserve">   761699</v>
      </c>
      <c r="B183" t="str">
        <f>T("   Ouvrages en aluminium, n.d.a.")</f>
        <v xml:space="preserve">   Ouvrages en aluminium, n.d.a.</v>
      </c>
      <c r="C183">
        <v>8101300</v>
      </c>
      <c r="D183">
        <v>24866</v>
      </c>
    </row>
    <row r="184" spans="1:4" x14ac:dyDescent="0.25">
      <c r="A184" t="str">
        <f>T("   820559")</f>
        <v xml:space="preserve">   820559</v>
      </c>
      <c r="B184" t="str">
        <f>T("   Outils à main, y.c. -les diamants de vitrier-, en métaux communs, n.d.a.")</f>
        <v xml:space="preserve">   Outils à main, y.c. -les diamants de vitrier-, en métaux communs, n.d.a.</v>
      </c>
      <c r="C184">
        <v>73005</v>
      </c>
      <c r="D184">
        <v>10</v>
      </c>
    </row>
    <row r="185" spans="1:4" x14ac:dyDescent="0.25">
      <c r="A185" t="str">
        <f>T("   820600")</f>
        <v xml:space="preserve">   820600</v>
      </c>
      <c r="B185" t="str">
        <f>T("   Outils d'au moins deux du n° 8202 à 8205, conditionnés en assortiments pour la vente au détail")</f>
        <v xml:space="preserve">   Outils d'au moins deux du n° 8202 à 8205, conditionnés en assortiments pour la vente au détail</v>
      </c>
      <c r="C185">
        <v>244794</v>
      </c>
      <c r="D185">
        <v>125</v>
      </c>
    </row>
    <row r="186" spans="1:4" x14ac:dyDescent="0.25">
      <c r="A186" t="str">
        <f>T("   821210")</f>
        <v xml:space="preserve">   821210</v>
      </c>
      <c r="B186" t="str">
        <f>T("   Rasoirs et rasoirs de sûreté non-électriques, en métaux communs")</f>
        <v xml:space="preserve">   Rasoirs et rasoirs de sûreté non-électriques, en métaux communs</v>
      </c>
      <c r="C186">
        <v>1487423</v>
      </c>
      <c r="D186">
        <v>1898</v>
      </c>
    </row>
    <row r="187" spans="1:4" x14ac:dyDescent="0.25">
      <c r="A187" t="str">
        <f>T("   821520")</f>
        <v xml:space="preserve">   821520</v>
      </c>
      <c r="B187" t="str">
        <f>T("   ASSORTIMENTS COMPOSÉS D'UN OU PLUSIEURS COUTEAUX DU N° 8211 ET D'UN NOMBRE AU MOINS ÉGAL DE CUILLERS, FOURCHETTES OU AUTRES ARTICLES DU N° N° 8215, EN MÉTAUX COMMUNS, NE COMPRENANT AUCUNE PARTIE ARGENTÉE, DORÉE OU PLATINÉE")</f>
        <v xml:space="preserve">   ASSORTIMENTS COMPOSÉS D'UN OU PLUSIEURS COUTEAUX DU N° 8211 ET D'UN NOMBRE AU MOINS ÉGAL DE CUILLERS, FOURCHETTES OU AUTRES ARTICLES DU N° N° 8215, EN MÉTAUX COMMUNS, NE COMPRENANT AUCUNE PARTIE ARGENTÉE, DORÉE OU PLATINÉE</v>
      </c>
      <c r="C187">
        <v>214749</v>
      </c>
      <c r="D187">
        <v>135</v>
      </c>
    </row>
    <row r="188" spans="1:4" x14ac:dyDescent="0.25">
      <c r="A188" t="str">
        <f>T("   830241")</f>
        <v xml:space="preserve">   830241</v>
      </c>
      <c r="B188" t="str">
        <f>T("   Garnitures, ferrures et simil., pour bâtiments, en métaux communs (sauf serrures et verrous de sûreté à clef et sauf charnières)")</f>
        <v xml:space="preserve">   Garnitures, ferrures et simil., pour bâtiments, en métaux communs (sauf serrures et verrous de sûreté à clef et sauf charnières)</v>
      </c>
      <c r="C188">
        <v>10546</v>
      </c>
      <c r="D188">
        <v>16</v>
      </c>
    </row>
    <row r="189" spans="1:4" x14ac:dyDescent="0.25">
      <c r="A189" t="str">
        <f>T("   830300")</f>
        <v xml:space="preserve">   830300</v>
      </c>
      <c r="B189" t="str">
        <f>T("   Coffres-forts, portes blindées et compartiments pour chambres fortes, coffres et cassettes de sûreté et articles simil., en métaux communs")</f>
        <v xml:space="preserve">   Coffres-forts, portes blindées et compartiments pour chambres fortes, coffres et cassettes de sûreté et articles simil., en métaux communs</v>
      </c>
      <c r="C189">
        <v>232859</v>
      </c>
      <c r="D189">
        <v>52</v>
      </c>
    </row>
    <row r="190" spans="1:4" x14ac:dyDescent="0.25">
      <c r="A190" t="str">
        <f>T("   831130")</f>
        <v xml:space="preserve">   831130</v>
      </c>
      <c r="B190" t="s">
        <v>379</v>
      </c>
      <c r="C190">
        <v>1250248</v>
      </c>
      <c r="D190">
        <v>10000</v>
      </c>
    </row>
    <row r="191" spans="1:4" x14ac:dyDescent="0.25">
      <c r="A191" t="str">
        <f>T("   841459")</f>
        <v xml:space="preserve">   841459</v>
      </c>
      <c r="B191" t="str">
        <f>T("   Ventilateurs (sauf ventilateurs de table, de sol, muraux, plafonniers, de toitures ou de fenêtres, à moteur électrique incorporé, d'une puissance &lt;= 125 W)")</f>
        <v xml:space="preserve">   Ventilateurs (sauf ventilateurs de table, de sol, muraux, plafonniers, de toitures ou de fenêtres, à moteur électrique incorporé, d'une puissance &lt;= 125 W)</v>
      </c>
      <c r="C191">
        <v>2541257</v>
      </c>
      <c r="D191">
        <v>2765</v>
      </c>
    </row>
    <row r="192" spans="1:4" x14ac:dyDescent="0.25">
      <c r="A192" t="str">
        <f>T("   841510")</f>
        <v xml:space="preserve">   841510</v>
      </c>
      <c r="B192" t="s">
        <v>395</v>
      </c>
      <c r="C192">
        <v>20889909</v>
      </c>
      <c r="D192">
        <v>8279</v>
      </c>
    </row>
    <row r="193" spans="1:4" x14ac:dyDescent="0.25">
      <c r="A193" t="str">
        <f>T("   841582")</f>
        <v xml:space="preserve">   841582</v>
      </c>
      <c r="B193" t="s">
        <v>397</v>
      </c>
      <c r="C193">
        <v>760386</v>
      </c>
      <c r="D193">
        <v>4603</v>
      </c>
    </row>
    <row r="194" spans="1:4" x14ac:dyDescent="0.25">
      <c r="A194" t="str">
        <f>T("   841590")</f>
        <v xml:space="preserve">   841590</v>
      </c>
      <c r="B194" t="str">
        <f>T("   Parties de machines et appareils pour le conditionnement de l'air comprenant un ventilateur à moteur et des dispositifs propres à modifier la température et l'humidité de l'air, n.d.a.")</f>
        <v xml:space="preserve">   Parties de machines et appareils pour le conditionnement de l'air comprenant un ventilateur à moteur et des dispositifs propres à modifier la température et l'humidité de l'air, n.d.a.</v>
      </c>
      <c r="C194">
        <v>803493</v>
      </c>
      <c r="D194">
        <v>1481</v>
      </c>
    </row>
    <row r="195" spans="1:4" x14ac:dyDescent="0.25">
      <c r="A195" t="str">
        <f>T("   841810")</f>
        <v xml:space="preserve">   841810</v>
      </c>
      <c r="B195" t="str">
        <f>T("   Réfrigérateurs et congélateurs-conservateurs combinés, avec portes extérieures séparées")</f>
        <v xml:space="preserve">   Réfrigérateurs et congélateurs-conservateurs combinés, avec portes extérieures séparées</v>
      </c>
      <c r="C195">
        <v>5315439</v>
      </c>
      <c r="D195">
        <v>2543.8000000000002</v>
      </c>
    </row>
    <row r="196" spans="1:4" x14ac:dyDescent="0.25">
      <c r="A196" t="str">
        <f>T("   841821")</f>
        <v xml:space="preserve">   841821</v>
      </c>
      <c r="B196" t="str">
        <f>T("   Réfrigérateurs ménagers à compression")</f>
        <v xml:space="preserve">   Réfrigérateurs ménagers à compression</v>
      </c>
      <c r="C196">
        <v>7570189</v>
      </c>
      <c r="D196">
        <v>5023.55</v>
      </c>
    </row>
    <row r="197" spans="1:4" x14ac:dyDescent="0.25">
      <c r="A197" t="str">
        <f>T("   841822")</f>
        <v xml:space="preserve">   841822</v>
      </c>
      <c r="B197" t="str">
        <f>T("   Réfrigérateurs ménagers à absorption, électriques")</f>
        <v xml:space="preserve">   Réfrigérateurs ménagers à absorption, électriques</v>
      </c>
      <c r="C197">
        <v>1725660</v>
      </c>
      <c r="D197">
        <v>8000</v>
      </c>
    </row>
    <row r="198" spans="1:4" x14ac:dyDescent="0.25">
      <c r="A198" t="str">
        <f>T("   841829")</f>
        <v xml:space="preserve">   841829</v>
      </c>
      <c r="B198" t="str">
        <f>T("   Réfrigérateurs ménagers à absorption, non-électriques")</f>
        <v xml:space="preserve">   Réfrigérateurs ménagers à absorption, non-électriques</v>
      </c>
      <c r="C198">
        <v>9227934</v>
      </c>
      <c r="D198">
        <v>27771</v>
      </c>
    </row>
    <row r="199" spans="1:4" x14ac:dyDescent="0.25">
      <c r="A199" t="str">
        <f>T("   841830")</f>
        <v xml:space="preserve">   841830</v>
      </c>
      <c r="B199" t="str">
        <f>T("   Meubles congélateurs-conservateurs du type coffre, capacité &lt;= 800 l")</f>
        <v xml:space="preserve">   Meubles congélateurs-conservateurs du type coffre, capacité &lt;= 800 l</v>
      </c>
      <c r="C199">
        <v>8169562</v>
      </c>
      <c r="D199">
        <v>5349</v>
      </c>
    </row>
    <row r="200" spans="1:4" x14ac:dyDescent="0.25">
      <c r="A200" t="str">
        <f>T("   841850")</f>
        <v xml:space="preserve">   841850</v>
      </c>
      <c r="B200" t="s">
        <v>400</v>
      </c>
      <c r="C200">
        <v>242264</v>
      </c>
      <c r="D200">
        <v>68</v>
      </c>
    </row>
    <row r="201" spans="1:4" x14ac:dyDescent="0.25">
      <c r="A201" t="str">
        <f>T("   842121")</f>
        <v xml:space="preserve">   842121</v>
      </c>
      <c r="B201" t="str">
        <f>T("   Appareils pour la filtration ou l'épuration des eaux")</f>
        <v xml:space="preserve">   Appareils pour la filtration ou l'épuration des eaux</v>
      </c>
      <c r="C201">
        <v>20478</v>
      </c>
      <c r="D201">
        <v>500</v>
      </c>
    </row>
    <row r="202" spans="1:4" x14ac:dyDescent="0.25">
      <c r="A202" t="str">
        <f>T("   842389")</f>
        <v xml:space="preserve">   842389</v>
      </c>
      <c r="B202" t="str">
        <f>T("   Appareils et instruments de pesage, portée &gt; 5000 kg")</f>
        <v xml:space="preserve">   Appareils et instruments de pesage, portée &gt; 5000 kg</v>
      </c>
      <c r="C202">
        <v>5591138</v>
      </c>
      <c r="D202">
        <v>13074</v>
      </c>
    </row>
    <row r="203" spans="1:4" x14ac:dyDescent="0.25">
      <c r="A203" t="str">
        <f>T("   842390")</f>
        <v xml:space="preserve">   842390</v>
      </c>
      <c r="B203" t="str">
        <f>T("   Poids pour balances de tous genres; parties d'appareils et instruments de pesage, n.d.a.")</f>
        <v xml:space="preserve">   Poids pour balances de tous genres; parties d'appareils et instruments de pesage, n.d.a.</v>
      </c>
      <c r="C203">
        <v>6504240</v>
      </c>
      <c r="D203">
        <v>11000</v>
      </c>
    </row>
    <row r="204" spans="1:4" x14ac:dyDescent="0.25">
      <c r="A204" t="str">
        <f>T("   842410")</f>
        <v xml:space="preserve">   842410</v>
      </c>
      <c r="B204" t="str">
        <f>T("   Extincteurs mécaniques, même chargés (sauf bombes et grenades d'extinction d'incendie)")</f>
        <v xml:space="preserve">   Extincteurs mécaniques, même chargés (sauf bombes et grenades d'extinction d'incendie)</v>
      </c>
      <c r="C204">
        <v>1226087</v>
      </c>
      <c r="D204">
        <v>1450</v>
      </c>
    </row>
    <row r="205" spans="1:4" x14ac:dyDescent="0.25">
      <c r="A205" t="str">
        <f>T("   842490")</f>
        <v xml:space="preserve">   842490</v>
      </c>
      <c r="B205" t="s">
        <v>406</v>
      </c>
      <c r="C205">
        <v>824784</v>
      </c>
      <c r="D205">
        <v>2000</v>
      </c>
    </row>
    <row r="206" spans="1:4" x14ac:dyDescent="0.25">
      <c r="A206" t="str">
        <f>T("   842549")</f>
        <v xml:space="preserve">   842549</v>
      </c>
      <c r="B206" t="str">
        <f>T("   Crics et vérins, non hydrauliques")</f>
        <v xml:space="preserve">   Crics et vérins, non hydrauliques</v>
      </c>
      <c r="C206">
        <v>193748</v>
      </c>
      <c r="D206">
        <v>250</v>
      </c>
    </row>
    <row r="207" spans="1:4" x14ac:dyDescent="0.25">
      <c r="A207" t="str">
        <f>T("   842790")</f>
        <v xml:space="preserve">   842790</v>
      </c>
      <c r="B207" t="str">
        <f>T("   Chariots de manutention munis d'un dispositif de levage mais non autopropulsés")</f>
        <v xml:space="preserve">   Chariots de manutention munis d'un dispositif de levage mais non autopropulsés</v>
      </c>
      <c r="C207">
        <v>213142</v>
      </c>
      <c r="D207">
        <v>1000</v>
      </c>
    </row>
    <row r="208" spans="1:4" x14ac:dyDescent="0.25">
      <c r="A208" t="str">
        <f>T("   843110")</f>
        <v xml:space="preserve">   843110</v>
      </c>
      <c r="B208" t="str">
        <f>T("   Parties de palans; treuils, cabestans; crics et vérins, n.d.a.")</f>
        <v xml:space="preserve">   Parties de palans; treuils, cabestans; crics et vérins, n.d.a.</v>
      </c>
      <c r="C208">
        <v>6480229</v>
      </c>
      <c r="D208">
        <v>812</v>
      </c>
    </row>
    <row r="209" spans="1:4" x14ac:dyDescent="0.25">
      <c r="A209" t="str">
        <f>T("   844329")</f>
        <v xml:space="preserve">   844329</v>
      </c>
      <c r="B209" t="str">
        <f>T("   Machines et appareils à imprimer, typographiques (sauf machines et appareils flexographiques, et machines et appareils à imprimer typographiques alimentés en bobines)")</f>
        <v xml:space="preserve">   Machines et appareils à imprimer, typographiques (sauf machines et appareils flexographiques, et machines et appareils à imprimer typographiques alimentés en bobines)</v>
      </c>
      <c r="C209">
        <v>21516144</v>
      </c>
      <c r="D209">
        <v>3898</v>
      </c>
    </row>
    <row r="210" spans="1:4" x14ac:dyDescent="0.25">
      <c r="A210" t="str">
        <f>T("   845019")</f>
        <v xml:space="preserve">   845019</v>
      </c>
      <c r="B210" t="str">
        <f>T("   Machines à laver le linge d'une capacité unitaire exprimée en poids de linge sec &lt;= 6 kg (à l'excl. des machines entièrement automatiques et des machines à laver le linge avec essoreuse centrifuge incorporée)")</f>
        <v xml:space="preserve">   Machines à laver le linge d'une capacité unitaire exprimée en poids de linge sec &lt;= 6 kg (à l'excl. des machines entièrement automatiques et des machines à laver le linge avec essoreuse centrifuge incorporée)</v>
      </c>
      <c r="C210">
        <v>565361</v>
      </c>
      <c r="D210">
        <v>5907</v>
      </c>
    </row>
    <row r="211" spans="1:4" x14ac:dyDescent="0.25">
      <c r="A211" t="str">
        <f>T("   847030")</f>
        <v xml:space="preserve">   847030</v>
      </c>
      <c r="B211" t="str">
        <f>T("   Machines à calculer autres qu'électroniques")</f>
        <v xml:space="preserve">   Machines à calculer autres qu'électroniques</v>
      </c>
      <c r="C211">
        <v>4680681</v>
      </c>
      <c r="D211">
        <v>596</v>
      </c>
    </row>
    <row r="212" spans="1:4" x14ac:dyDescent="0.25">
      <c r="A212" t="str">
        <f>T("   847130")</f>
        <v xml:space="preserve">   847130</v>
      </c>
      <c r="B212" t="str">
        <f>T("   Machines automatiques de traitement de l'information numériques, portatives, d'un poids &lt;= 10 kg, comportant au moins une unité centrale de traitement, un clavier et un écran (à l'excl. des unités périphériques)")</f>
        <v xml:space="preserve">   Machines automatiques de traitement de l'information numériques, portatives, d'un poids &lt;= 10 kg, comportant au moins une unité centrale de traitement, un clavier et un écran (à l'excl. des unités périphériques)</v>
      </c>
      <c r="C212">
        <v>13500000</v>
      </c>
      <c r="D212">
        <v>10000</v>
      </c>
    </row>
    <row r="213" spans="1:4" x14ac:dyDescent="0.25">
      <c r="A213" t="str">
        <f>T("   847141")</f>
        <v xml:space="preserve">   847141</v>
      </c>
      <c r="B213" t="s">
        <v>433</v>
      </c>
      <c r="C213">
        <v>26560548</v>
      </c>
      <c r="D213">
        <v>11782</v>
      </c>
    </row>
    <row r="214" spans="1:4" x14ac:dyDescent="0.25">
      <c r="A214" t="str">
        <f>T("   847180")</f>
        <v xml:space="preserve">   847180</v>
      </c>
      <c r="B214" t="str">
        <f>T("   Unités de machines automatiques de traitement de l'information, numériques (à l'excl. des unités de traitement, unités d'entrée ou de sortie et unités de mémoire)")</f>
        <v xml:space="preserve">   Unités de machines automatiques de traitement de l'information, numériques (à l'excl. des unités de traitement, unités d'entrée ou de sortie et unités de mémoire)</v>
      </c>
      <c r="C214">
        <v>8020163</v>
      </c>
      <c r="D214">
        <v>2858</v>
      </c>
    </row>
    <row r="215" spans="1:4" x14ac:dyDescent="0.25">
      <c r="A215" t="str">
        <f>T("   847190")</f>
        <v xml:space="preserve">   847190</v>
      </c>
      <c r="B215"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215">
        <v>18621991</v>
      </c>
      <c r="D215">
        <v>8634</v>
      </c>
    </row>
    <row r="216" spans="1:4" x14ac:dyDescent="0.25">
      <c r="A216" t="str">
        <f>T("   847330")</f>
        <v xml:space="preserve">   847330</v>
      </c>
      <c r="B216" t="str">
        <f>T("   Parties et accessoires pour machines automatiques de traitement de l'information ou pour autres machines du n° 8471, n.d.a.")</f>
        <v xml:space="preserve">   Parties et accessoires pour machines automatiques de traitement de l'information ou pour autres machines du n° 8471, n.d.a.</v>
      </c>
      <c r="C216">
        <v>7309592</v>
      </c>
      <c r="D216">
        <v>2924</v>
      </c>
    </row>
    <row r="217" spans="1:4" x14ac:dyDescent="0.25">
      <c r="A217" t="str">
        <f>T("   847340")</f>
        <v xml:space="preserve">   847340</v>
      </c>
      <c r="B217" t="str">
        <f>T("   Parties et accessoires pour autres machines et appareils de bureau du n° 8472, n.d.a.")</f>
        <v xml:space="preserve">   Parties et accessoires pour autres machines et appareils de bureau du n° 8472, n.d.a.</v>
      </c>
      <c r="C217">
        <v>331260</v>
      </c>
      <c r="D217">
        <v>25</v>
      </c>
    </row>
    <row r="218" spans="1:4" x14ac:dyDescent="0.25">
      <c r="A218" t="str">
        <f>T("   847490")</f>
        <v xml:space="preserve">   847490</v>
      </c>
      <c r="B218" t="str">
        <f>T("   Parties des machines et appareils pour le travail des matières minérales du n° 8474, n.d.a.")</f>
        <v xml:space="preserve">   Parties des machines et appareils pour le travail des matières minérales du n° 8474, n.d.a.</v>
      </c>
      <c r="C218">
        <v>3464630</v>
      </c>
      <c r="D218">
        <v>9000</v>
      </c>
    </row>
    <row r="219" spans="1:4" x14ac:dyDescent="0.25">
      <c r="A219" t="str">
        <f>T("   847920")</f>
        <v xml:space="preserve">   847920</v>
      </c>
      <c r="B219" t="s">
        <v>438</v>
      </c>
      <c r="C219">
        <v>108046449</v>
      </c>
      <c r="D219">
        <v>19000</v>
      </c>
    </row>
    <row r="220" spans="1:4" x14ac:dyDescent="0.25">
      <c r="A220" t="str">
        <f>T("   847989")</f>
        <v xml:space="preserve">   847989</v>
      </c>
      <c r="B220" t="str">
        <f>T("   Machines et appareils, y.c. les appareils mécaniques, n.d.a.")</f>
        <v xml:space="preserve">   Machines et appareils, y.c. les appareils mécaniques, n.d.a.</v>
      </c>
      <c r="C220">
        <v>2863560</v>
      </c>
      <c r="D220">
        <v>1914</v>
      </c>
    </row>
    <row r="221" spans="1:4" x14ac:dyDescent="0.25">
      <c r="A221" t="str">
        <f>T("   848180")</f>
        <v xml:space="preserve">   848180</v>
      </c>
      <c r="B221" t="str">
        <f>T("   Articles de robinetterie et organes simil. pour tuyauteries, etc. (à l'excl. des détendeurs, valves pour transmissions oléohydrauliques ou pneumatiques, clapets et soupapes de retenue et sauf soupapes de trop-plein ou de sûreté)")</f>
        <v xml:space="preserve">   Articles de robinetterie et organes simil. pour tuyauteries, etc. (à l'excl. des détendeurs, valves pour transmissions oléohydrauliques ou pneumatiques, clapets et soupapes de retenue et sauf soupapes de trop-plein ou de sûreté)</v>
      </c>
      <c r="C221">
        <v>421212</v>
      </c>
      <c r="D221">
        <v>1200</v>
      </c>
    </row>
    <row r="222" spans="1:4" x14ac:dyDescent="0.25">
      <c r="A222" t="str">
        <f>T("   848280")</f>
        <v xml:space="preserve">   848280</v>
      </c>
      <c r="B222" t="s">
        <v>442</v>
      </c>
      <c r="C222">
        <v>534954</v>
      </c>
      <c r="D222">
        <v>1222</v>
      </c>
    </row>
    <row r="223" spans="1:4" x14ac:dyDescent="0.25">
      <c r="A223" t="str">
        <f>T("   848360")</f>
        <v xml:space="preserve">   848360</v>
      </c>
      <c r="B223" t="str">
        <f>T("   Embrayages et organes d'accouplement, y.c. les joints d'articulation, pour machines")</f>
        <v xml:space="preserve">   Embrayages et organes d'accouplement, y.c. les joints d'articulation, pour machines</v>
      </c>
      <c r="C223">
        <v>987220</v>
      </c>
      <c r="D223">
        <v>712</v>
      </c>
    </row>
    <row r="224" spans="1:4" x14ac:dyDescent="0.25">
      <c r="A224" t="str">
        <f>T("   850211")</f>
        <v xml:space="preserve">   850211</v>
      </c>
      <c r="B224" t="s">
        <v>444</v>
      </c>
      <c r="C224">
        <v>20046568</v>
      </c>
      <c r="D224">
        <v>3929</v>
      </c>
    </row>
    <row r="225" spans="1:4" x14ac:dyDescent="0.25">
      <c r="A225" t="str">
        <f>T("   850213")</f>
        <v xml:space="preserve">   850213</v>
      </c>
      <c r="B225" t="s">
        <v>445</v>
      </c>
      <c r="C225">
        <v>38312926</v>
      </c>
      <c r="D225">
        <v>8567</v>
      </c>
    </row>
    <row r="226" spans="1:4" x14ac:dyDescent="0.25">
      <c r="A226" t="str">
        <f>T("   850220")</f>
        <v xml:space="preserve">   850220</v>
      </c>
      <c r="B226" t="s">
        <v>446</v>
      </c>
      <c r="C226">
        <v>7046345</v>
      </c>
      <c r="D226">
        <v>21793</v>
      </c>
    </row>
    <row r="227" spans="1:4" x14ac:dyDescent="0.25">
      <c r="A227" t="str">
        <f>T("   850239")</f>
        <v xml:space="preserve">   850239</v>
      </c>
      <c r="B227" t="str">
        <f>T("   Groupes électrogènes (autres qu'à énergie éolienne et à moteurs à piston)")</f>
        <v xml:space="preserve">   Groupes électrogènes (autres qu'à énergie éolienne et à moteurs à piston)</v>
      </c>
      <c r="C227">
        <v>7477577</v>
      </c>
      <c r="D227">
        <v>14008</v>
      </c>
    </row>
    <row r="228" spans="1:4" x14ac:dyDescent="0.25">
      <c r="A228" t="str">
        <f>T("   850610")</f>
        <v xml:space="preserve">   850610</v>
      </c>
      <c r="B228" t="str">
        <f>T("   Piles et batteries de piles électriques, au bioxyde de manganèse (sauf hors d'usage)")</f>
        <v xml:space="preserve">   Piles et batteries de piles électriques, au bioxyde de manganèse (sauf hors d'usage)</v>
      </c>
      <c r="C228">
        <v>25209855</v>
      </c>
      <c r="D228">
        <v>108000</v>
      </c>
    </row>
    <row r="229" spans="1:4" x14ac:dyDescent="0.25">
      <c r="A229" t="str">
        <f>T("   850710")</f>
        <v xml:space="preserve">   850710</v>
      </c>
      <c r="B229" t="str">
        <f>T("   Accumulateurs au plomb, pour le démarrage des moteurs à piston (sauf hors d'usage)")</f>
        <v xml:space="preserve">   Accumulateurs au plomb, pour le démarrage des moteurs à piston (sauf hors d'usage)</v>
      </c>
      <c r="C229">
        <v>2966219</v>
      </c>
      <c r="D229">
        <v>6500</v>
      </c>
    </row>
    <row r="230" spans="1:4" x14ac:dyDescent="0.25">
      <c r="A230" t="str">
        <f>T("   850780")</f>
        <v xml:space="preserve">   850780</v>
      </c>
      <c r="B230" t="str">
        <f>T("   Accumulateurs électriques (sauf hors d'usage et autres qu'au plomb, au nickel-cadmium ou au nickel-fer)")</f>
        <v xml:space="preserve">   Accumulateurs électriques (sauf hors d'usage et autres qu'au plomb, au nickel-cadmium ou au nickel-fer)</v>
      </c>
      <c r="C230">
        <v>2283592</v>
      </c>
      <c r="D230">
        <v>7000</v>
      </c>
    </row>
    <row r="231" spans="1:4" x14ac:dyDescent="0.25">
      <c r="A231" t="str">
        <f>T("   850940")</f>
        <v xml:space="preserve">   850940</v>
      </c>
      <c r="B231" t="str">
        <f>T("   Broyeurs et mélangeurs pour aliments; presse-fruits et presse-légumes à moteur électrique incorporé, à usage domestique")</f>
        <v xml:space="preserve">   Broyeurs et mélangeurs pour aliments; presse-fruits et presse-légumes à moteur électrique incorporé, à usage domestique</v>
      </c>
      <c r="C231">
        <v>146796</v>
      </c>
      <c r="D231">
        <v>434</v>
      </c>
    </row>
    <row r="232" spans="1:4" x14ac:dyDescent="0.25">
      <c r="A232" t="str">
        <f>T("   851580")</f>
        <v xml:space="preserve">   851580</v>
      </c>
      <c r="B232" t="s">
        <v>450</v>
      </c>
      <c r="C232">
        <v>240318</v>
      </c>
      <c r="D232">
        <v>120</v>
      </c>
    </row>
    <row r="233" spans="1:4" x14ac:dyDescent="0.25">
      <c r="A233" t="str">
        <f>T("   851610")</f>
        <v xml:space="preserve">   851610</v>
      </c>
      <c r="B233" t="str">
        <f>T("   Chauffe-eau et thermoplongeurs électriques")</f>
        <v xml:space="preserve">   Chauffe-eau et thermoplongeurs électriques</v>
      </c>
      <c r="C233">
        <v>827837</v>
      </c>
      <c r="D233">
        <v>1890</v>
      </c>
    </row>
    <row r="234" spans="1:4" x14ac:dyDescent="0.25">
      <c r="A234" t="str">
        <f>T("   851631")</f>
        <v xml:space="preserve">   851631</v>
      </c>
      <c r="B234" t="str">
        <f>T("   Sèche-cheveux électriques")</f>
        <v xml:space="preserve">   Sèche-cheveux électriques</v>
      </c>
      <c r="C234">
        <v>563188</v>
      </c>
      <c r="D234">
        <v>1000</v>
      </c>
    </row>
    <row r="235" spans="1:4" x14ac:dyDescent="0.25">
      <c r="A235" t="str">
        <f>T("   851719")</f>
        <v xml:space="preserve">   851719</v>
      </c>
      <c r="B235" t="str">
        <f>T("   Postes téléphoniques d'usagers pour la téléphonie par fil; visiophones (sauf postes téléphoniques d'usagers par fil à combinés sans fil et parlophones)")</f>
        <v xml:space="preserve">   Postes téléphoniques d'usagers pour la téléphonie par fil; visiophones (sauf postes téléphoniques d'usagers par fil à combinés sans fil et parlophones)</v>
      </c>
      <c r="C235">
        <v>525424</v>
      </c>
      <c r="D235">
        <v>163</v>
      </c>
    </row>
    <row r="236" spans="1:4" x14ac:dyDescent="0.25">
      <c r="A236" t="str">
        <f>T("   851780")</f>
        <v xml:space="preserve">   851780</v>
      </c>
      <c r="B236" t="s">
        <v>453</v>
      </c>
      <c r="C236">
        <v>5904816</v>
      </c>
      <c r="D236">
        <v>945</v>
      </c>
    </row>
    <row r="237" spans="1:4" x14ac:dyDescent="0.25">
      <c r="A237" t="str">
        <f>T("   851790")</f>
        <v xml:space="preserve">   851790</v>
      </c>
      <c r="B237" t="s">
        <v>454</v>
      </c>
      <c r="C237">
        <v>1181385</v>
      </c>
      <c r="D237">
        <v>353</v>
      </c>
    </row>
    <row r="238" spans="1:4" x14ac:dyDescent="0.25">
      <c r="A238" t="str">
        <f>T("   851829")</f>
        <v xml:space="preserve">   851829</v>
      </c>
      <c r="B238" t="str">
        <f>T("   Haut-parleurs sans enceinte")</f>
        <v xml:space="preserve">   Haut-parleurs sans enceinte</v>
      </c>
      <c r="C238">
        <v>1861304</v>
      </c>
      <c r="D238">
        <v>1773</v>
      </c>
    </row>
    <row r="239" spans="1:4" x14ac:dyDescent="0.25">
      <c r="A239" t="str">
        <f>T("   851890")</f>
        <v xml:space="preserve">   851890</v>
      </c>
      <c r="B239" t="str">
        <f>T("   Parties de microphones, haut-parleurs, casques d'écoute et écouteurs électro-acoustiques, amplificateurs électriques d'audiofréquence ou appareils électriques d'amplification du son, n.d.a.")</f>
        <v xml:space="preserve">   Parties de microphones, haut-parleurs, casques d'écoute et écouteurs électro-acoustiques, amplificateurs électriques d'audiofréquence ou appareils électriques d'amplification du son, n.d.a.</v>
      </c>
      <c r="C239">
        <v>1500523</v>
      </c>
      <c r="D239">
        <v>2185</v>
      </c>
    </row>
    <row r="240" spans="1:4" x14ac:dyDescent="0.25">
      <c r="A240" t="str">
        <f>T("   851999")</f>
        <v xml:space="preserve">   851999</v>
      </c>
      <c r="B240" t="str">
        <f>T("   Appareils de reproduction du son, n'incorporant pas de dispositif d'enregistrement du son (autres que tourne-disques, électrophones commandés par l'introduction d'une pièce de monnaie ou d'un jeton, machines à dicter et lecteurs de cassettes)")</f>
        <v xml:space="preserve">   Appareils de reproduction du son, n'incorporant pas de dispositif d'enregistrement du son (autres que tourne-disques, électrophones commandés par l'introduction d'une pièce de monnaie ou d'un jeton, machines à dicter et lecteurs de cassettes)</v>
      </c>
      <c r="C240">
        <v>1603896</v>
      </c>
      <c r="D240">
        <v>1758</v>
      </c>
    </row>
    <row r="241" spans="1:4" x14ac:dyDescent="0.25">
      <c r="A241" t="str">
        <f>T("   852190")</f>
        <v xml:space="preserve">   852190</v>
      </c>
      <c r="B241" t="s">
        <v>458</v>
      </c>
      <c r="C241">
        <v>10899707</v>
      </c>
      <c r="D241">
        <v>9510</v>
      </c>
    </row>
    <row r="242" spans="1:4" x14ac:dyDescent="0.25">
      <c r="A242" t="str">
        <f>T("   852713")</f>
        <v xml:space="preserve">   852713</v>
      </c>
      <c r="B242" t="str">
        <f>T("   RÉCEPTEURS DE RADIODIFFUSION POUVANT FONCTIONNER SANS SOURCE D'ÉNERGIE EXTÉRIEURE, COMBINÉS À UN APPAREIL D'ENREGISTREMENT OU DE REPRODUCTION DU SON (À L'EXCL. DES RADIOCASSETTES DE POCHE)")</f>
        <v xml:space="preserve">   RÉCEPTEURS DE RADIODIFFUSION POUVANT FONCTIONNER SANS SOURCE D'ÉNERGIE EXTÉRIEURE, COMBINÉS À UN APPAREIL D'ENREGISTREMENT OU DE REPRODUCTION DU SON (À L'EXCL. DES RADIOCASSETTES DE POCHE)</v>
      </c>
      <c r="C242">
        <v>64233</v>
      </c>
      <c r="D242">
        <v>18</v>
      </c>
    </row>
    <row r="243" spans="1:4" x14ac:dyDescent="0.25">
      <c r="A243" t="str">
        <f>T("   852719")</f>
        <v xml:space="preserve">   852719</v>
      </c>
      <c r="B243" t="str">
        <f>T("   Récepteurs de radiodiffusion pouvant fonctionner sans source d'énergie extérieure, y.c. les appareils recevant également la radiotéléphonie ou la radiotélégraphie, non combinés à un appareil d'enregistrement et de reproduction du son")</f>
        <v xml:space="preserve">   Récepteurs de radiodiffusion pouvant fonctionner sans source d'énergie extérieure, y.c. les appareils recevant également la radiotéléphonie ou la radiotélégraphie, non combinés à un appareil d'enregistrement et de reproduction du son</v>
      </c>
      <c r="C243">
        <v>823263</v>
      </c>
      <c r="D243">
        <v>1758</v>
      </c>
    </row>
    <row r="244" spans="1:4" x14ac:dyDescent="0.25">
      <c r="A244" t="str">
        <f>T("   852739")</f>
        <v xml:space="preserve">   852739</v>
      </c>
      <c r="B244" t="s">
        <v>464</v>
      </c>
      <c r="C244">
        <v>2194569</v>
      </c>
      <c r="D244">
        <v>1002.82</v>
      </c>
    </row>
    <row r="245" spans="1:4" x14ac:dyDescent="0.25">
      <c r="A245" t="str">
        <f>T("   852812")</f>
        <v xml:space="preserve">   852812</v>
      </c>
      <c r="B245"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245">
        <v>6978398</v>
      </c>
      <c r="D245">
        <v>9591</v>
      </c>
    </row>
    <row r="246" spans="1:4" x14ac:dyDescent="0.25">
      <c r="A246" t="str">
        <f>T("   852813")</f>
        <v xml:space="preserve">   852813</v>
      </c>
      <c r="B246" t="str">
        <f>T("   Appareils récepteurs pour la télévision en noir et blanc ou en autres monochromes, même incorporant un appareil récepteur de radiodiffusion ou un appareil d'enregistrement ou de reproduction du son ou des images")</f>
        <v xml:space="preserve">   Appareils récepteurs pour la télévision en noir et blanc ou en autres monochromes, même incorporant un appareil récepteur de radiodiffusion ou un appareil d'enregistrement ou de reproduction du son ou des images</v>
      </c>
      <c r="C246">
        <v>1308856</v>
      </c>
      <c r="D246">
        <v>1056</v>
      </c>
    </row>
    <row r="247" spans="1:4" x14ac:dyDescent="0.25">
      <c r="A247" t="str">
        <f>T("   852821")</f>
        <v xml:space="preserve">   852821</v>
      </c>
      <c r="B247" t="str">
        <f>T("   Moniteurs vidéo en couleurs")</f>
        <v xml:space="preserve">   Moniteurs vidéo en couleurs</v>
      </c>
      <c r="C247">
        <v>1027247</v>
      </c>
      <c r="D247">
        <v>2000</v>
      </c>
    </row>
    <row r="248" spans="1:4" x14ac:dyDescent="0.25">
      <c r="A248" t="str">
        <f>T("   852910")</f>
        <v xml:space="preserve">   852910</v>
      </c>
      <c r="B248" t="str">
        <f>T("   Antennes et réflecteurs d'antennes de tous types; parties reconnaissables comme étant utilisées conjointement avec ces articles, n.d.a.")</f>
        <v xml:space="preserve">   Antennes et réflecteurs d'antennes de tous types; parties reconnaissables comme étant utilisées conjointement avec ces articles, n.d.a.</v>
      </c>
      <c r="C248">
        <v>2692011</v>
      </c>
      <c r="D248">
        <v>3246</v>
      </c>
    </row>
    <row r="249" spans="1:4" x14ac:dyDescent="0.25">
      <c r="A249" t="str">
        <f>T("   852990")</f>
        <v xml:space="preserve">   852990</v>
      </c>
      <c r="B249" t="s">
        <v>466</v>
      </c>
      <c r="C249">
        <v>2363749</v>
      </c>
      <c r="D249">
        <v>6458</v>
      </c>
    </row>
    <row r="250" spans="1:4" x14ac:dyDescent="0.25">
      <c r="A250" t="str">
        <f>T("   853710")</f>
        <v xml:space="preserve">   853710</v>
      </c>
      <c r="B250" t="str">
        <f>T("   Tableaux, armoires et combinaisons d'appareils simil., pour la commande ou la distribution électrique, pour une tension &gt;= 1.000 V")</f>
        <v xml:space="preserve">   Tableaux, armoires et combinaisons d'appareils simil., pour la commande ou la distribution électrique, pour une tension &gt;= 1.000 V</v>
      </c>
      <c r="C250">
        <v>7366651</v>
      </c>
      <c r="D250">
        <v>397</v>
      </c>
    </row>
    <row r="251" spans="1:4" x14ac:dyDescent="0.25">
      <c r="A251" t="str">
        <f>T("   853939")</f>
        <v xml:space="preserve">   853939</v>
      </c>
      <c r="B251" t="str">
        <f>T("   Lampes et tubes à décharge (autres que fluorescents, à cathode chaude, à vapeur de mercure ou de sodium, à halogénure métallique et qu'à rayons ultraviolets)")</f>
        <v xml:space="preserve">   Lampes et tubes à décharge (autres que fluorescents, à cathode chaude, à vapeur de mercure ou de sodium, à halogénure métallique et qu'à rayons ultraviolets)</v>
      </c>
      <c r="C251">
        <v>839677</v>
      </c>
      <c r="D251">
        <v>1922</v>
      </c>
    </row>
    <row r="252" spans="1:4" x14ac:dyDescent="0.25">
      <c r="A252" t="str">
        <f>T("   854389")</f>
        <v xml:space="preserve">   854389</v>
      </c>
      <c r="B252" t="str">
        <f>T("   MACHINES ET APPAREILS ÉLECTRIQUES AYANT UNE FONCTION PROPRE, N.D.A. DANS LE CHAPITRE 85")</f>
        <v xml:space="preserve">   MACHINES ET APPAREILS ÉLECTRIQUES AYANT UNE FONCTION PROPRE, N.D.A. DANS LE CHAPITRE 85</v>
      </c>
      <c r="C252">
        <v>373385</v>
      </c>
      <c r="D252">
        <v>5000</v>
      </c>
    </row>
    <row r="253" spans="1:4" x14ac:dyDescent="0.25">
      <c r="A253" t="str">
        <f>T("   854451")</f>
        <v xml:space="preserve">   854451</v>
      </c>
      <c r="B253" t="str">
        <f>T("   Conducteurs électriques, pour tension &gt; 80 V mais &lt;= 1.000 V, avec pièces de connexion, n.d.a.")</f>
        <v xml:space="preserve">   Conducteurs électriques, pour tension &gt; 80 V mais &lt;= 1.000 V, avec pièces de connexion, n.d.a.</v>
      </c>
      <c r="C253">
        <v>894946</v>
      </c>
      <c r="D253">
        <v>588</v>
      </c>
    </row>
    <row r="254" spans="1:4" x14ac:dyDescent="0.25">
      <c r="A254" t="str">
        <f>T("   854459")</f>
        <v xml:space="preserve">   854459</v>
      </c>
      <c r="B254" t="str">
        <f>T("   Conducteurs électriques, pour tension &gt; 80 V mais &lt;= 1.000 V, sans pièces de connexion, n.d.a.")</f>
        <v xml:space="preserve">   Conducteurs électriques, pour tension &gt; 80 V mais &lt;= 1.000 V, sans pièces de connexion, n.d.a.</v>
      </c>
      <c r="C254">
        <v>7670</v>
      </c>
      <c r="D254">
        <v>25</v>
      </c>
    </row>
    <row r="255" spans="1:4" x14ac:dyDescent="0.25">
      <c r="A255" t="str">
        <f>T("   870210")</f>
        <v xml:space="preserve">   870210</v>
      </c>
      <c r="B255" t="s">
        <v>472</v>
      </c>
      <c r="C255">
        <v>47279422</v>
      </c>
      <c r="D255">
        <v>50000</v>
      </c>
    </row>
    <row r="256" spans="1:4" x14ac:dyDescent="0.25">
      <c r="A256" t="str">
        <f>T("   870290")</f>
        <v xml:space="preserve">   870290</v>
      </c>
      <c r="B256" t="s">
        <v>473</v>
      </c>
      <c r="C256">
        <v>45491446</v>
      </c>
      <c r="D256">
        <v>7125</v>
      </c>
    </row>
    <row r="257" spans="1:4" x14ac:dyDescent="0.25">
      <c r="A257" t="str">
        <f>T("   870322")</f>
        <v xml:space="preserve">   870322</v>
      </c>
      <c r="B257" t="s">
        <v>475</v>
      </c>
      <c r="C257">
        <v>128184770</v>
      </c>
      <c r="D257">
        <v>19170</v>
      </c>
    </row>
    <row r="258" spans="1:4" x14ac:dyDescent="0.25">
      <c r="A258" t="str">
        <f>T("   870323")</f>
        <v xml:space="preserve">   870323</v>
      </c>
      <c r="B258" t="s">
        <v>476</v>
      </c>
      <c r="C258">
        <v>242336818</v>
      </c>
      <c r="D258">
        <v>44790</v>
      </c>
    </row>
    <row r="259" spans="1:4" x14ac:dyDescent="0.25">
      <c r="A259" t="str">
        <f>T("   870324")</f>
        <v xml:space="preserve">   870324</v>
      </c>
      <c r="B259" t="s">
        <v>477</v>
      </c>
      <c r="C259">
        <v>78851400</v>
      </c>
      <c r="D259">
        <v>16458</v>
      </c>
    </row>
    <row r="260" spans="1:4" x14ac:dyDescent="0.25">
      <c r="A260" t="str">
        <f>T("   870421")</f>
        <v xml:space="preserve">   870421</v>
      </c>
      <c r="B260" t="s">
        <v>481</v>
      </c>
      <c r="C260">
        <v>50971142</v>
      </c>
      <c r="D260">
        <v>16960</v>
      </c>
    </row>
    <row r="261" spans="1:4" x14ac:dyDescent="0.25">
      <c r="A261" t="str">
        <f>T("   870431")</f>
        <v xml:space="preserve">   870431</v>
      </c>
      <c r="B261" t="s">
        <v>484</v>
      </c>
      <c r="C261">
        <v>17985720</v>
      </c>
      <c r="D261">
        <v>4000</v>
      </c>
    </row>
    <row r="262" spans="1:4" x14ac:dyDescent="0.25">
      <c r="A262" t="str">
        <f>T("   870490")</f>
        <v xml:space="preserve">   870490</v>
      </c>
      <c r="B262" t="str">
        <f>T("   Véhicules automobiles pour le transport de marchandises à moteur autre qu'à piston à allumage par étincelles ou moteur diesel ou semi-diesel (sauf tombereaux automoteurs du n° 8704.10, véhicules automobiles à usages spéciaux du n° 8705)")</f>
        <v xml:space="preserve">   Véhicules automobiles pour le transport de marchandises à moteur autre qu'à piston à allumage par étincelles ou moteur diesel ou semi-diesel (sauf tombereaux automoteurs du n° 8704.10, véhicules automobiles à usages spéciaux du n° 8705)</v>
      </c>
      <c r="C262">
        <v>18245324</v>
      </c>
      <c r="D262">
        <v>1800</v>
      </c>
    </row>
    <row r="263" spans="1:4" x14ac:dyDescent="0.25">
      <c r="A263" t="str">
        <f>T("   870839")</f>
        <v xml:space="preserve">   870839</v>
      </c>
      <c r="B263" t="str">
        <f>T("   FREINS ET SERVO-FREINS, ET LEURS PARTIES, POUR DE TRACTEURS, VÉHICULES POUR LE TRANSPORT DE &gt;= 10 PERSONNES, CHAUFFEUR INCLUS, VOITURES DE TOURISME, VÉHICULES POUR LE TRANSPORT DE MARCHANDISES ET VÉHICULES À USAGES SPÉCIAUX, N.D.A.")</f>
        <v xml:space="preserve">   FREINS ET SERVO-FREINS, ET LEURS PARTIES, POUR DE TRACTEURS, VÉHICULES POUR LE TRANSPORT DE &gt;= 10 PERSONNES, CHAUFFEUR INCLUS, VOITURES DE TOURISME, VÉHICULES POUR LE TRANSPORT DE MARCHANDISES ET VÉHICULES À USAGES SPÉCIAUX, N.D.A.</v>
      </c>
      <c r="C263">
        <v>3641276</v>
      </c>
      <c r="D263">
        <v>16000</v>
      </c>
    </row>
    <row r="264" spans="1:4" x14ac:dyDescent="0.25">
      <c r="A264" t="str">
        <f>T("   870899")</f>
        <v xml:space="preserve">   870899</v>
      </c>
      <c r="B264"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264">
        <v>8654633</v>
      </c>
      <c r="D264">
        <v>1449</v>
      </c>
    </row>
    <row r="265" spans="1:4" x14ac:dyDescent="0.25">
      <c r="A265" t="str">
        <f>T("   871120")</f>
        <v xml:space="preserve">   871120</v>
      </c>
      <c r="B265" t="str">
        <f>T("   Motocycles à moteur à piston alternatif, cylindrée &gt; 50 cm³ mais &lt;= 250 cm³")</f>
        <v xml:space="preserve">   Motocycles à moteur à piston alternatif, cylindrée &gt; 50 cm³ mais &lt;= 250 cm³</v>
      </c>
      <c r="C265">
        <v>61201068</v>
      </c>
      <c r="D265">
        <v>34680</v>
      </c>
    </row>
    <row r="266" spans="1:4" x14ac:dyDescent="0.25">
      <c r="A266" t="str">
        <f>T("   871130")</f>
        <v xml:space="preserve">   871130</v>
      </c>
      <c r="B266" t="str">
        <f>T("   Motocycles à moteur à piston alternatif, cylindrée &gt; 250 cm³ mais &lt;= 500 cm³")</f>
        <v xml:space="preserve">   Motocycles à moteur à piston alternatif, cylindrée &gt; 250 cm³ mais &lt;= 500 cm³</v>
      </c>
      <c r="C266">
        <v>1517000</v>
      </c>
      <c r="D266">
        <v>5766</v>
      </c>
    </row>
    <row r="267" spans="1:4" x14ac:dyDescent="0.25">
      <c r="A267" t="str">
        <f>T("   871140")</f>
        <v xml:space="preserve">   871140</v>
      </c>
      <c r="B267" t="str">
        <f>T("   Motocycles à moteur à piston alternatif, cylindrée &gt; 500 cm³ mais &lt;= 800 cm³")</f>
        <v xml:space="preserve">   Motocycles à moteur à piston alternatif, cylindrée &gt; 500 cm³ mais &lt;= 800 cm³</v>
      </c>
      <c r="C267">
        <v>2750510</v>
      </c>
      <c r="D267">
        <v>5000</v>
      </c>
    </row>
    <row r="268" spans="1:4" x14ac:dyDescent="0.25">
      <c r="A268" t="str">
        <f>T("   871190")</f>
        <v xml:space="preserve">   871190</v>
      </c>
      <c r="B268" t="str">
        <f>T("   Side-cars")</f>
        <v xml:space="preserve">   Side-cars</v>
      </c>
      <c r="C268">
        <v>634822</v>
      </c>
      <c r="D268">
        <v>1500</v>
      </c>
    </row>
    <row r="269" spans="1:4" x14ac:dyDescent="0.25">
      <c r="A269" t="str">
        <f>T("   871200")</f>
        <v xml:space="preserve">   871200</v>
      </c>
      <c r="B269" t="str">
        <f>T("   BICYCLETTES ET AUTRES CYCLES, -Y.C. LES TRIPORTEURS-, SANS MOTEUR")</f>
        <v xml:space="preserve">   BICYCLETTES ET AUTRES CYCLES, -Y.C. LES TRIPORTEURS-, SANS MOTEUR</v>
      </c>
      <c r="C269">
        <v>22274</v>
      </c>
      <c r="D269">
        <v>17</v>
      </c>
    </row>
    <row r="270" spans="1:4" x14ac:dyDescent="0.25">
      <c r="A270" t="str">
        <f>T("   900490")</f>
        <v xml:space="preserve">   900490</v>
      </c>
      <c r="B270" t="str">
        <f>T("   Lunettes correctrices, protectrices ou autres et articles simil. (à l'excl. des lunettes pour tests visuels, des lunettes solaires, des verres de contact, des verres de lunetterie et des montures de lunettes)")</f>
        <v xml:space="preserve">   Lunettes correctrices, protectrices ou autres et articles simil. (à l'excl. des lunettes pour tests visuels, des lunettes solaires, des verres de contact, des verres de lunetterie et des montures de lunettes)</v>
      </c>
      <c r="C270">
        <v>249120</v>
      </c>
      <c r="D270">
        <v>823</v>
      </c>
    </row>
    <row r="271" spans="1:4" x14ac:dyDescent="0.25">
      <c r="A271" t="str">
        <f>T("   900659")</f>
        <v xml:space="preserve">   900659</v>
      </c>
      <c r="B271" t="s">
        <v>493</v>
      </c>
      <c r="C271">
        <v>700173</v>
      </c>
      <c r="D271">
        <v>998</v>
      </c>
    </row>
    <row r="272" spans="1:4" x14ac:dyDescent="0.25">
      <c r="A272" t="str">
        <f>T("   900720")</f>
        <v xml:space="preserve">   900720</v>
      </c>
      <c r="B272" t="str">
        <f>T("   Projecteurs cinématographiques")</f>
        <v xml:space="preserve">   Projecteurs cinématographiques</v>
      </c>
      <c r="C272">
        <v>550440</v>
      </c>
      <c r="D272">
        <v>1045</v>
      </c>
    </row>
    <row r="273" spans="1:4" x14ac:dyDescent="0.25">
      <c r="A273" t="str">
        <f>T("   900999")</f>
        <v xml:space="preserve">   900999</v>
      </c>
      <c r="B273" t="str">
        <f>T("   Parties et accessoires d'appareils de photocopie et de thermocopie, n.d.a. (à l'excl. des dispositifs automatiques d'alimentation en documents, des dispositifs d'alimentation en papier et des dispositifs de tri)")</f>
        <v xml:space="preserve">   Parties et accessoires d'appareils de photocopie et de thermocopie, n.d.a. (à l'excl. des dispositifs automatiques d'alimentation en documents, des dispositifs d'alimentation en papier et des dispositifs de tri)</v>
      </c>
      <c r="C273">
        <v>5928763</v>
      </c>
      <c r="D273">
        <v>755</v>
      </c>
    </row>
    <row r="274" spans="1:4" x14ac:dyDescent="0.25">
      <c r="A274" t="str">
        <f>T("   901530")</f>
        <v xml:space="preserve">   901530</v>
      </c>
      <c r="B274" t="str">
        <f>T("   Niveaux")</f>
        <v xml:space="preserve">   Niveaux</v>
      </c>
      <c r="C274">
        <v>12238</v>
      </c>
      <c r="D274">
        <v>1</v>
      </c>
    </row>
    <row r="275" spans="1:4" x14ac:dyDescent="0.25">
      <c r="A275" t="str">
        <f>T("   901910")</f>
        <v xml:space="preserve">   901910</v>
      </c>
      <c r="B275" t="str">
        <f>T("   Appareils de mécanothérapie, appareils de massage et appareils de psychotechnie")</f>
        <v xml:space="preserve">   Appareils de mécanothérapie, appareils de massage et appareils de psychotechnie</v>
      </c>
      <c r="C275">
        <v>99805</v>
      </c>
      <c r="D275">
        <v>146</v>
      </c>
    </row>
    <row r="276" spans="1:4" x14ac:dyDescent="0.25">
      <c r="A276" t="str">
        <f>T("   902000")</f>
        <v xml:space="preserve">   902000</v>
      </c>
      <c r="B276" t="str">
        <f>T("   APPAREILS RESPIRATOIRES ET MASQUES À GAZ (À L'EXCL. DES MASQUES DE PROTECTION DÉPOURVUS DE MÉCANISME ET D'ÉLÉMENT FILTRANT AMOVIBLE AINSI QUE DES APPAREILS DE RESPIRATOIRES DE RÉANIMATION ET AUTRES APPAREILS DE THERAPIE RESPIRATOIRE)")</f>
        <v xml:space="preserve">   APPAREILS RESPIRATOIRES ET MASQUES À GAZ (À L'EXCL. DES MASQUES DE PROTECTION DÉPOURVUS DE MÉCANISME ET D'ÉLÉMENT FILTRANT AMOVIBLE AINSI QUE DES APPAREILS DE RESPIRATOIRES DE RÉANIMATION ET AUTRES APPAREILS DE THERAPIE RESPIRATOIRE)</v>
      </c>
      <c r="C276">
        <v>374747</v>
      </c>
      <c r="D276">
        <v>63</v>
      </c>
    </row>
    <row r="277" spans="1:4" x14ac:dyDescent="0.25">
      <c r="A277" t="str">
        <f>T("   903031")</f>
        <v xml:space="preserve">   903031</v>
      </c>
      <c r="B277" t="str">
        <f>T("   Multimètres pour la mesure de la tension, de l'intensité, de la résistance ou de la puissance, sans dispositif enregistreur")</f>
        <v xml:space="preserve">   Multimètres pour la mesure de la tension, de l'intensité, de la résistance ou de la puissance, sans dispositif enregistreur</v>
      </c>
      <c r="C277">
        <v>22050</v>
      </c>
      <c r="D277">
        <v>71</v>
      </c>
    </row>
    <row r="278" spans="1:4" x14ac:dyDescent="0.25">
      <c r="A278" t="str">
        <f>T("   903289")</f>
        <v xml:space="preserve">   903289</v>
      </c>
      <c r="B278" t="s">
        <v>503</v>
      </c>
      <c r="C278">
        <v>1661388</v>
      </c>
      <c r="D278">
        <v>1282</v>
      </c>
    </row>
    <row r="279" spans="1:4" x14ac:dyDescent="0.25">
      <c r="A279" t="str">
        <f>T("   910529")</f>
        <v xml:space="preserve">   910529</v>
      </c>
      <c r="B279" t="str">
        <f>T("   Pendules et horloges murales ne fonctionnant pas électriquement")</f>
        <v xml:space="preserve">   Pendules et horloges murales ne fonctionnant pas électriquement</v>
      </c>
      <c r="C279">
        <v>596312</v>
      </c>
      <c r="D279">
        <v>1200</v>
      </c>
    </row>
    <row r="280" spans="1:4" x14ac:dyDescent="0.25">
      <c r="A280" t="str">
        <f>T("   940120")</f>
        <v xml:space="preserve">   940120</v>
      </c>
      <c r="B280" t="str">
        <f>T("   Sièges pour véhicules automobiles")</f>
        <v xml:space="preserve">   Sièges pour véhicules automobiles</v>
      </c>
      <c r="C280">
        <v>52268</v>
      </c>
      <c r="D280">
        <v>5</v>
      </c>
    </row>
    <row r="281" spans="1:4" x14ac:dyDescent="0.25">
      <c r="A281" t="str">
        <f>T("   940161")</f>
        <v xml:space="preserve">   940161</v>
      </c>
      <c r="B281" t="str">
        <f>T("   Sièges, avec bâti en bois, rembourrés (non transformables en lits)")</f>
        <v xml:space="preserve">   Sièges, avec bâti en bois, rembourrés (non transformables en lits)</v>
      </c>
      <c r="C281">
        <v>5623853</v>
      </c>
      <c r="D281">
        <v>14000</v>
      </c>
    </row>
    <row r="282" spans="1:4" x14ac:dyDescent="0.25">
      <c r="A282" t="str">
        <f>T("   940180")</f>
        <v xml:space="preserve">   940180</v>
      </c>
      <c r="B282" t="str">
        <f>T("   Sièges, n.d.a.")</f>
        <v xml:space="preserve">   Sièges, n.d.a.</v>
      </c>
      <c r="C282">
        <v>2949004</v>
      </c>
      <c r="D282">
        <v>3735</v>
      </c>
    </row>
    <row r="283" spans="1:4" x14ac:dyDescent="0.25">
      <c r="A283" t="str">
        <f>T("   940310")</f>
        <v xml:space="preserve">   940310</v>
      </c>
      <c r="B283" t="str">
        <f>T("   Meubles de bureau en métal (sauf sièges)")</f>
        <v xml:space="preserve">   Meubles de bureau en métal (sauf sièges)</v>
      </c>
      <c r="C283">
        <v>394314</v>
      </c>
      <c r="D283">
        <v>536</v>
      </c>
    </row>
    <row r="284" spans="1:4" x14ac:dyDescent="0.25">
      <c r="A284" t="str">
        <f>T("   940320")</f>
        <v xml:space="preserve">   940320</v>
      </c>
      <c r="B284" t="str">
        <f>T("   Meubles en métal, sauf meubles de bureau, sièges et mobilier pour la médecine, la chirurgie, l'art dentaire ou vétérinaire")</f>
        <v xml:space="preserve">   Meubles en métal, sauf meubles de bureau, sièges et mobilier pour la médecine, la chirurgie, l'art dentaire ou vétérinaire</v>
      </c>
      <c r="C284">
        <v>13457958</v>
      </c>
      <c r="D284">
        <v>24800</v>
      </c>
    </row>
    <row r="285" spans="1:4" x14ac:dyDescent="0.25">
      <c r="A285" t="str">
        <f>T("   940330")</f>
        <v xml:space="preserve">   940330</v>
      </c>
      <c r="B285" t="str">
        <f>T("   Meubles de bureau en bois (sauf sièges)")</f>
        <v xml:space="preserve">   Meubles de bureau en bois (sauf sièges)</v>
      </c>
      <c r="C285">
        <v>2099246</v>
      </c>
      <c r="D285">
        <v>470</v>
      </c>
    </row>
    <row r="286" spans="1:4" x14ac:dyDescent="0.25">
      <c r="A286" t="str">
        <f>T("   940350")</f>
        <v xml:space="preserve">   940350</v>
      </c>
      <c r="B286" t="str">
        <f>T("   Meubles pour chambres à coucher, en bois (sauf sièges)")</f>
        <v xml:space="preserve">   Meubles pour chambres à coucher, en bois (sauf sièges)</v>
      </c>
      <c r="C286">
        <v>3718676</v>
      </c>
      <c r="D286">
        <v>8930</v>
      </c>
    </row>
    <row r="287" spans="1:4" x14ac:dyDescent="0.25">
      <c r="A287" t="str">
        <f>T("   940360")</f>
        <v xml:space="preserve">   940360</v>
      </c>
      <c r="B287" t="str">
        <f>T("   Meubles en bois (autres que pour bureaux, cuisines ou chambres à coucher et autres que sièges)")</f>
        <v xml:space="preserve">   Meubles en bois (autres que pour bureaux, cuisines ou chambres à coucher et autres que sièges)</v>
      </c>
      <c r="C287">
        <v>3812877</v>
      </c>
      <c r="D287">
        <v>5467</v>
      </c>
    </row>
    <row r="288" spans="1:4" x14ac:dyDescent="0.25">
      <c r="A288" t="str">
        <f>T("   940370")</f>
        <v xml:space="preserve">   940370</v>
      </c>
      <c r="B288" t="str">
        <f>T("   Meubles en matières plastiques (autres que pour la médecine, l'art dentaire et vétérinaire, la chirurgie et autres que sièges)")</f>
        <v xml:space="preserve">   Meubles en matières plastiques (autres que pour la médecine, l'art dentaire et vétérinaire, la chirurgie et autres que sièges)</v>
      </c>
      <c r="C288">
        <v>719025</v>
      </c>
      <c r="D288">
        <v>1244</v>
      </c>
    </row>
    <row r="289" spans="1:4" x14ac:dyDescent="0.25">
      <c r="A289" t="str">
        <f>T("   940380")</f>
        <v xml:space="preserve">   940380</v>
      </c>
      <c r="B289" t="str">
        <f>T("   Meubles en rotin, osier, bambou ou autres matières (sauf métal, bois et matières plastiques)")</f>
        <v xml:space="preserve">   Meubles en rotin, osier, bambou ou autres matières (sauf métal, bois et matières plastiques)</v>
      </c>
      <c r="C289">
        <v>2705383</v>
      </c>
      <c r="D289">
        <v>4787</v>
      </c>
    </row>
    <row r="290" spans="1:4" x14ac:dyDescent="0.25">
      <c r="A290" t="str">
        <f>T("   940429")</f>
        <v xml:space="preserve">   940429</v>
      </c>
      <c r="B290" t="str">
        <f>T("   Matelas à ressorts ou rembourrés, ou garnis intérieurement de matières autres que le caoutchouc alvéolaire ou les matières plastiques alvéolaires (sauf matelas à eau, matelas pneumatiques et oreillers)")</f>
        <v xml:space="preserve">   Matelas à ressorts ou rembourrés, ou garnis intérieurement de matières autres que le caoutchouc alvéolaire ou les matières plastiques alvéolaires (sauf matelas à eau, matelas pneumatiques et oreillers)</v>
      </c>
      <c r="C290">
        <v>2039002</v>
      </c>
      <c r="D290">
        <v>5085</v>
      </c>
    </row>
    <row r="291" spans="1:4" x14ac:dyDescent="0.25">
      <c r="A291" t="str">
        <f>T("   940490")</f>
        <v xml:space="preserve">   940490</v>
      </c>
      <c r="B291" t="s">
        <v>508</v>
      </c>
      <c r="C291">
        <v>555302</v>
      </c>
      <c r="D291">
        <v>1084</v>
      </c>
    </row>
    <row r="292" spans="1:4" x14ac:dyDescent="0.25">
      <c r="A292" t="str">
        <f>T("   940520")</f>
        <v xml:space="preserve">   940520</v>
      </c>
      <c r="B292" t="str">
        <f>T("   Lampes de chevet, lampes de bureau et lampadaires d'intérieur, électriques")</f>
        <v xml:space="preserve">   Lampes de chevet, lampes de bureau et lampadaires d'intérieur, électriques</v>
      </c>
      <c r="C292">
        <v>642808</v>
      </c>
      <c r="D292">
        <v>331</v>
      </c>
    </row>
    <row r="293" spans="1:4" x14ac:dyDescent="0.25">
      <c r="A293" t="str">
        <f>T("   940540")</f>
        <v xml:space="preserve">   940540</v>
      </c>
      <c r="B293" t="str">
        <f>T("   Appareils d'éclairage électrique, n.d.a.")</f>
        <v xml:space="preserve">   Appareils d'éclairage électrique, n.d.a.</v>
      </c>
      <c r="C293">
        <v>655413</v>
      </c>
      <c r="D293">
        <v>1500</v>
      </c>
    </row>
    <row r="294" spans="1:4" x14ac:dyDescent="0.25">
      <c r="A294" t="str">
        <f>T("   950299")</f>
        <v xml:space="preserve">   950299</v>
      </c>
      <c r="B294" t="str">
        <f>T("   Parties et accessoires pour poupées représentant uniquement l'être humain, n.d.a.")</f>
        <v xml:space="preserve">   Parties et accessoires pour poupées représentant uniquement l'être humain, n.d.a.</v>
      </c>
      <c r="C294">
        <v>71902</v>
      </c>
      <c r="D294">
        <v>35</v>
      </c>
    </row>
    <row r="295" spans="1:4" x14ac:dyDescent="0.25">
      <c r="A295" t="str">
        <f>T("   950390")</f>
        <v xml:space="preserve">   950390</v>
      </c>
      <c r="B295" t="str">
        <f>T("   Jouets, n.d.a.")</f>
        <v xml:space="preserve">   Jouets, n.d.a.</v>
      </c>
      <c r="C295">
        <v>361580</v>
      </c>
      <c r="D295">
        <v>1883</v>
      </c>
    </row>
    <row r="296" spans="1:4" x14ac:dyDescent="0.25">
      <c r="A296" t="str">
        <f>T("   950662")</f>
        <v xml:space="preserve">   950662</v>
      </c>
      <c r="B296" t="str">
        <f>T("   Ballons et balles gonflables")</f>
        <v xml:space="preserve">   Ballons et balles gonflables</v>
      </c>
      <c r="C296">
        <v>301511</v>
      </c>
      <c r="D296">
        <v>1800</v>
      </c>
    </row>
    <row r="297" spans="1:4" x14ac:dyDescent="0.25">
      <c r="A297" t="str">
        <f>T("   950699")</f>
        <v xml:space="preserve">   950699</v>
      </c>
      <c r="B297" t="str">
        <f>T("   Articles et matériel pour le sport et les jeux de plein air, n.d.a.; piscines et pataugeoires")</f>
        <v xml:space="preserve">   Articles et matériel pour le sport et les jeux de plein air, n.d.a.; piscines et pataugeoires</v>
      </c>
      <c r="C297">
        <v>1052906</v>
      </c>
      <c r="D297">
        <v>1500</v>
      </c>
    </row>
    <row r="298" spans="1:4" x14ac:dyDescent="0.25">
      <c r="A298" t="str">
        <f>T("   960310")</f>
        <v xml:space="preserve">   960310</v>
      </c>
      <c r="B298" t="str">
        <f>T("   Balais et balayettes consistant en matières végétales en bottes liées")</f>
        <v xml:space="preserve">   Balais et balayettes consistant en matières végétales en bottes liées</v>
      </c>
      <c r="C298">
        <v>195575</v>
      </c>
      <c r="D298">
        <v>1046</v>
      </c>
    </row>
    <row r="299" spans="1:4" x14ac:dyDescent="0.25">
      <c r="A299" t="str">
        <f>T("   960390")</f>
        <v xml:space="preserve">   960390</v>
      </c>
      <c r="B299" t="str">
        <f>T("   ARTICLES DE BROSSERIE (SAUF DU N° 9603.10 À 9603.50), P.EX. TÊTES PRÉPARÉES POUR ARTICLES DE BROSSERIE ET RACLETTES EN CAOUTCHOUC OU EN MATIÈRES SOUPLES ANALOGUES")</f>
        <v xml:space="preserve">   ARTICLES DE BROSSERIE (SAUF DU N° 9603.10 À 9603.50), P.EX. TÊTES PRÉPARÉES POUR ARTICLES DE BROSSERIE ET RACLETTES EN CAOUTCHOUC OU EN MATIÈRES SOUPLES ANALOGUES</v>
      </c>
      <c r="C299">
        <v>321644</v>
      </c>
      <c r="D299">
        <v>10</v>
      </c>
    </row>
    <row r="300" spans="1:4" x14ac:dyDescent="0.25">
      <c r="A300" t="str">
        <f>T("   960810")</f>
        <v xml:space="preserve">   960810</v>
      </c>
      <c r="B300" t="str">
        <f>T("   Stylos et crayons à bille")</f>
        <v xml:space="preserve">   Stylos et crayons à bille</v>
      </c>
      <c r="C300">
        <v>32414500</v>
      </c>
      <c r="D300">
        <v>8500</v>
      </c>
    </row>
    <row r="301" spans="1:4" x14ac:dyDescent="0.25">
      <c r="A301" t="str">
        <f>T("   960839")</f>
        <v xml:space="preserve">   960839</v>
      </c>
      <c r="B301" t="str">
        <f>T("   Stylos à plume et autres stylos (autres qu'à dessiner à l'encre de Chine)")</f>
        <v xml:space="preserve">   Stylos à plume et autres stylos (autres qu'à dessiner à l'encre de Chine)</v>
      </c>
      <c r="C301">
        <v>25353</v>
      </c>
      <c r="D301">
        <v>23</v>
      </c>
    </row>
    <row r="302" spans="1:4" x14ac:dyDescent="0.25">
      <c r="A302" t="str">
        <f>T("   960899")</f>
        <v xml:space="preserve">   960899</v>
      </c>
      <c r="B302" t="str">
        <f>T("   PARTIES DE STYLOS ET CRAYONS À BILLE, STYLOS ET MARQUEURS À MÈCHE FEUTRE OU À AUTRES POINTES POREUSES, STYLOS ET PORTE-MINE, N.D.A.; PORTE-PLUME, PORTE-CRAYON ET ARTICLES SIMIL., STYLETS POUR DUPLICATEURS")</f>
        <v xml:space="preserve">   PARTIES DE STYLOS ET CRAYONS À BILLE, STYLOS ET MARQUEURS À MÈCHE FEUTRE OU À AUTRES POINTES POREUSES, STYLOS ET PORTE-MINE, N.D.A.; PORTE-PLUME, PORTE-CRAYON ET ARTICLES SIMIL., STYLETS POUR DUPLICATEURS</v>
      </c>
      <c r="C302">
        <v>6106988</v>
      </c>
      <c r="D302">
        <v>14000</v>
      </c>
    </row>
    <row r="303" spans="1:4" x14ac:dyDescent="0.25">
      <c r="A303" t="str">
        <f>T("   970110")</f>
        <v xml:space="preserve">   970110</v>
      </c>
      <c r="B303" t="str">
        <f>T("   Tableaux, p.ex. peintures à l'huile, aquarelles et pastels, et dessins, faits entièrement à la main (à l'excl. des dessins du n° 4906 et des articles manufacturés décorés à la main)")</f>
        <v xml:space="preserve">   Tableaux, p.ex. peintures à l'huile, aquarelles et pastels, et dessins, faits entièrement à la main (à l'excl. des dessins du n° 4906 et des articles manufacturés décorés à la main)</v>
      </c>
      <c r="C303">
        <v>614236</v>
      </c>
      <c r="D303">
        <v>1446</v>
      </c>
    </row>
    <row r="304" spans="1:4" x14ac:dyDescent="0.25">
      <c r="A304" t="str">
        <f>T("AF")</f>
        <v>AF</v>
      </c>
      <c r="B304" t="str">
        <f>T("Afghanistan")</f>
        <v>Afghanistan</v>
      </c>
    </row>
    <row r="305" spans="1:4" x14ac:dyDescent="0.25">
      <c r="A305" t="str">
        <f>T("   ZZ_Total_Produit_SH6")</f>
        <v xml:space="preserve">   ZZ_Total_Produit_SH6</v>
      </c>
      <c r="B305" t="str">
        <f>T("   ZZ_Total_Produit_SH6")</f>
        <v xml:space="preserve">   ZZ_Total_Produit_SH6</v>
      </c>
      <c r="C305">
        <v>71721217</v>
      </c>
      <c r="D305">
        <v>3040</v>
      </c>
    </row>
    <row r="306" spans="1:4" x14ac:dyDescent="0.25">
      <c r="A306" t="str">
        <f>T("   392329")</f>
        <v xml:space="preserve">   392329</v>
      </c>
      <c r="B306" t="str">
        <f>T("   Sacs, sachets, pochettes et cornets, en matières plastiques (autres que les polymères de l'éthylène)")</f>
        <v xml:space="preserve">   Sacs, sachets, pochettes et cornets, en matières plastiques (autres que les polymères de l'éthylène)</v>
      </c>
      <c r="C306">
        <v>623452</v>
      </c>
      <c r="D306">
        <v>17</v>
      </c>
    </row>
    <row r="307" spans="1:4" x14ac:dyDescent="0.25">
      <c r="A307" t="str">
        <f>T("   490199")</f>
        <v xml:space="preserve">   490199</v>
      </c>
      <c r="B307"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307">
        <v>500000</v>
      </c>
      <c r="D307">
        <v>149</v>
      </c>
    </row>
    <row r="308" spans="1:4" x14ac:dyDescent="0.25">
      <c r="A308" t="str">
        <f>T("   490290")</f>
        <v xml:space="preserve">   490290</v>
      </c>
      <c r="B308" t="str">
        <f>T("   Journaux et publications périodiques imprimés, même illustrés ou contenant de la publicité (à l'excl. des journaux et publications paraissant au moins quatre fois par semaine)")</f>
        <v xml:space="preserve">   Journaux et publications périodiques imprimés, même illustrés ou contenant de la publicité (à l'excl. des journaux et publications paraissant au moins quatre fois par semaine)</v>
      </c>
      <c r="C308">
        <v>25000</v>
      </c>
      <c r="D308">
        <v>8</v>
      </c>
    </row>
    <row r="309" spans="1:4" x14ac:dyDescent="0.25">
      <c r="A309" t="str">
        <f>T("   490700")</f>
        <v xml:space="preserve">   490700</v>
      </c>
      <c r="B309" t="s">
        <v>220</v>
      </c>
      <c r="C309">
        <v>354300</v>
      </c>
      <c r="D309">
        <v>10</v>
      </c>
    </row>
    <row r="310" spans="1:4" x14ac:dyDescent="0.25">
      <c r="A310" t="str">
        <f>T("   761610")</f>
        <v xml:space="preserve">   761610</v>
      </c>
      <c r="B310" t="s">
        <v>368</v>
      </c>
      <c r="C310">
        <v>200000</v>
      </c>
      <c r="D310">
        <v>75</v>
      </c>
    </row>
    <row r="311" spans="1:4" x14ac:dyDescent="0.25">
      <c r="A311" t="str">
        <f>T("   841490")</f>
        <v xml:space="preserve">   841490</v>
      </c>
      <c r="B311" t="str">
        <f>T("   Parties de pompes à air ou à vide, de compresseurs d'air ou d'autres gaz et de ventilateurs, de hottes aspirantes à extraction ou à recyclage, à ventilateur incorporé, n.d.a.")</f>
        <v xml:space="preserve">   Parties de pompes à air ou à vide, de compresseurs d'air ou d'autres gaz et de ventilateurs, de hottes aspirantes à extraction ou à recyclage, à ventilateur incorporé, n.d.a.</v>
      </c>
      <c r="C311">
        <v>290342</v>
      </c>
      <c r="D311">
        <v>90</v>
      </c>
    </row>
    <row r="312" spans="1:4" x14ac:dyDescent="0.25">
      <c r="A312" t="str">
        <f>T("   841590")</f>
        <v xml:space="preserve">   841590</v>
      </c>
      <c r="B312" t="str">
        <f>T("   Parties de machines et appareils pour le conditionnement de l'air comprenant un ventilateur à moteur et des dispositifs propres à modifier la température et l'humidité de l'air, n.d.a.")</f>
        <v xml:space="preserve">   Parties de machines et appareils pour le conditionnement de l'air comprenant un ventilateur à moteur et des dispositifs propres à modifier la température et l'humidité de l'air, n.d.a.</v>
      </c>
      <c r="C312">
        <v>3214251</v>
      </c>
      <c r="D312">
        <v>455</v>
      </c>
    </row>
    <row r="313" spans="1:4" x14ac:dyDescent="0.25">
      <c r="A313" t="str">
        <f>T("   841690")</f>
        <v xml:space="preserve">   841690</v>
      </c>
      <c r="B313" t="str">
        <f>T("   PARTIES DE BR¹LEURS POUR L'ALIMENTATION DES FOYERS ET DES FOYERS AUTOMATIQUES, DE LEURS AVANT-FOYERS, GRILLES MÉCANIQUES, DISPOSITIFS MÉCANIQUES POUR L'ÉVACUATION DES CENDRES ET DISPOSITIFS SIMIL., N.D.A.")</f>
        <v xml:space="preserve">   PARTIES DE BR¹LEURS POUR L'ALIMENTATION DES FOYERS ET DES FOYERS AUTOMATIQUES, DE LEURS AVANT-FOYERS, GRILLES MÉCANIQUES, DISPOSITIFS MÉCANIQUES POUR L'ÉVACUATION DES CENDRES ET DISPOSITIFS SIMIL., N.D.A.</v>
      </c>
      <c r="C313">
        <v>630550</v>
      </c>
      <c r="D313">
        <v>1</v>
      </c>
    </row>
    <row r="314" spans="1:4" x14ac:dyDescent="0.25">
      <c r="A314" t="str">
        <f>T("   841899")</f>
        <v xml:space="preserve">   841899</v>
      </c>
      <c r="B314" t="str">
        <f>T("   Parties de réfrigérateurs et de congélateurs-conservateurs du type armoire et du type coffre et d'autres matériel, machines et appareils pour la production du froid, parties de pompes à chaleur, n.d.a.")</f>
        <v xml:space="preserve">   Parties de réfrigérateurs et de congélateurs-conservateurs du type armoire et du type coffre et d'autres matériel, machines et appareils pour la production du froid, parties de pompes à chaleur, n.d.a.</v>
      </c>
      <c r="C314">
        <v>2052599</v>
      </c>
      <c r="D314">
        <v>33</v>
      </c>
    </row>
    <row r="315" spans="1:4" x14ac:dyDescent="0.25">
      <c r="A315" t="str">
        <f>T("   842290")</f>
        <v xml:space="preserve">   842290</v>
      </c>
      <c r="B315" t="str">
        <f>T("   Parties des machines à laver la vaisselle, des machines à empaqueter ou à emballer les marchandises et autres machines et appareils du n° 8422, n.d.a.")</f>
        <v xml:space="preserve">   Parties des machines à laver la vaisselle, des machines à empaqueter ou à emballer les marchandises et autres machines et appareils du n° 8422, n.d.a.</v>
      </c>
      <c r="C315">
        <v>11723</v>
      </c>
      <c r="D315">
        <v>50</v>
      </c>
    </row>
    <row r="316" spans="1:4" x14ac:dyDescent="0.25">
      <c r="A316" t="str">
        <f>T("   846694")</f>
        <v xml:space="preserve">   846694</v>
      </c>
      <c r="B316" t="str">
        <f>T("   Parties et accessoires pour machines-outils pour le travail du métal avec enlèvement de matière, n.d.a.")</f>
        <v xml:space="preserve">   Parties et accessoires pour machines-outils pour le travail du métal avec enlèvement de matière, n.d.a.</v>
      </c>
      <c r="C316">
        <v>6708458</v>
      </c>
      <c r="D316">
        <v>81</v>
      </c>
    </row>
    <row r="317" spans="1:4" x14ac:dyDescent="0.25">
      <c r="A317" t="str">
        <f>T("   847190")</f>
        <v xml:space="preserve">   847190</v>
      </c>
      <c r="B317"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317">
        <v>978704</v>
      </c>
      <c r="D317">
        <v>2</v>
      </c>
    </row>
    <row r="318" spans="1:4" x14ac:dyDescent="0.25">
      <c r="A318" t="str">
        <f>T("   848490")</f>
        <v xml:space="preserve">   848490</v>
      </c>
      <c r="B318" t="str">
        <f>T("   Jeux ou assortiments de joints de composition différente présentés en pochettes, enveloppes ou emballages analogues")</f>
        <v xml:space="preserve">   Jeux ou assortiments de joints de composition différente présentés en pochettes, enveloppes ou emballages analogues</v>
      </c>
      <c r="C318">
        <v>467045</v>
      </c>
      <c r="D318">
        <v>1.6</v>
      </c>
    </row>
    <row r="319" spans="1:4" x14ac:dyDescent="0.25">
      <c r="A319" t="str">
        <f>T("   851780")</f>
        <v xml:space="preserve">   851780</v>
      </c>
      <c r="B319" t="s">
        <v>453</v>
      </c>
      <c r="C319">
        <v>10113197</v>
      </c>
      <c r="D319">
        <v>269.89999999999998</v>
      </c>
    </row>
    <row r="320" spans="1:4" x14ac:dyDescent="0.25">
      <c r="A320" t="str">
        <f>T("   851790")</f>
        <v xml:space="preserve">   851790</v>
      </c>
      <c r="B320" t="s">
        <v>454</v>
      </c>
      <c r="C320">
        <v>706437</v>
      </c>
      <c r="D320">
        <v>18</v>
      </c>
    </row>
    <row r="321" spans="1:4" x14ac:dyDescent="0.25">
      <c r="A321" t="str">
        <f>T("   852410")</f>
        <v xml:space="preserve">   852410</v>
      </c>
      <c r="B321" t="str">
        <f>T("   Disques pour électrophones")</f>
        <v xml:space="preserve">   Disques pour électrophones</v>
      </c>
      <c r="C321">
        <v>69875</v>
      </c>
      <c r="D321">
        <v>1</v>
      </c>
    </row>
    <row r="322" spans="1:4" x14ac:dyDescent="0.25">
      <c r="A322" t="str">
        <f>T("   852812")</f>
        <v xml:space="preserve">   852812</v>
      </c>
      <c r="B322"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322">
        <v>26732881</v>
      </c>
      <c r="D322">
        <v>823</v>
      </c>
    </row>
    <row r="323" spans="1:4" x14ac:dyDescent="0.25">
      <c r="A323" t="str">
        <f>T("   852990")</f>
        <v xml:space="preserve">   852990</v>
      </c>
      <c r="B323" t="s">
        <v>466</v>
      </c>
      <c r="C323">
        <v>15130965</v>
      </c>
      <c r="D323">
        <v>758.5</v>
      </c>
    </row>
    <row r="324" spans="1:4" x14ac:dyDescent="0.25">
      <c r="A324" t="str">
        <f>T("   853120")</f>
        <v xml:space="preserve">   853120</v>
      </c>
      <c r="B324" t="str">
        <f>T("   Panneaux indicateurs avec dispositifs à cristaux liquides [LCD] ou à diodes émettrices de lumière [LED] (autres que pour les véhicules automobiles, les bicyclettes ou les voies de communication)")</f>
        <v xml:space="preserve">   Panneaux indicateurs avec dispositifs à cristaux liquides [LCD] ou à diodes émettrices de lumière [LED] (autres que pour les véhicules automobiles, les bicyclettes ou les voies de communication)</v>
      </c>
      <c r="C324">
        <v>240351</v>
      </c>
      <c r="D324">
        <v>67</v>
      </c>
    </row>
    <row r="325" spans="1:4" x14ac:dyDescent="0.25">
      <c r="A325" t="str">
        <f>T("   853180")</f>
        <v xml:space="preserve">   853180</v>
      </c>
      <c r="B325" t="s">
        <v>467</v>
      </c>
      <c r="C325">
        <v>97370</v>
      </c>
      <c r="D325">
        <v>4</v>
      </c>
    </row>
    <row r="326" spans="1:4" x14ac:dyDescent="0.25">
      <c r="A326" t="str">
        <f>T("   854011")</f>
        <v xml:space="preserve">   854011</v>
      </c>
      <c r="B326" t="str">
        <f>T("   Tubes cathodiques pour récepteurs de télévision et moniteurs vidéo, en couleurs")</f>
        <v xml:space="preserve">   Tubes cathodiques pour récepteurs de télévision et moniteurs vidéo, en couleurs</v>
      </c>
      <c r="C326">
        <v>155841</v>
      </c>
      <c r="D326">
        <v>104</v>
      </c>
    </row>
    <row r="327" spans="1:4" x14ac:dyDescent="0.25">
      <c r="A327" t="str">
        <f>T("   854210")</f>
        <v xml:space="preserve">   854210</v>
      </c>
      <c r="B327" t="str">
        <f>T("   Cartes munies d'un circuit intégré électronique [cartes intelligentes], munies ou non d'une piste magnétique")</f>
        <v xml:space="preserve">   Cartes munies d'un circuit intégré électronique [cartes intelligentes], munies ou non d'une piste magnétique</v>
      </c>
      <c r="C327">
        <v>1908626</v>
      </c>
      <c r="D327">
        <v>15</v>
      </c>
    </row>
    <row r="328" spans="1:4" x14ac:dyDescent="0.25">
      <c r="A328" t="str">
        <f>T("   950370")</f>
        <v xml:space="preserve">   950370</v>
      </c>
      <c r="B328" t="str">
        <f>T("   Jouets présentés en assortiments ou en panoplies (sauf trains électriques, y.c. accessoires, sauf modèles réduits à assembler, cubes et jeux de construction et puzzles)")</f>
        <v xml:space="preserve">   Jouets présentés en assortiments ou en panoplies (sauf trains électriques, y.c. accessoires, sauf modèles réduits à assembler, cubes et jeux de construction et puzzles)</v>
      </c>
      <c r="C328">
        <v>509250</v>
      </c>
      <c r="D328">
        <v>7</v>
      </c>
    </row>
    <row r="329" spans="1:4" x14ac:dyDescent="0.25">
      <c r="A329" t="str">
        <f>T("AL")</f>
        <v>AL</v>
      </c>
      <c r="B329" t="str">
        <f>T("Albanie")</f>
        <v>Albanie</v>
      </c>
    </row>
    <row r="330" spans="1:4" x14ac:dyDescent="0.25">
      <c r="A330" t="str">
        <f>T("   ZZ_Total_Produit_SH6")</f>
        <v xml:space="preserve">   ZZ_Total_Produit_SH6</v>
      </c>
      <c r="B330" t="str">
        <f>T("   ZZ_Total_Produit_SH6")</f>
        <v xml:space="preserve">   ZZ_Total_Produit_SH6</v>
      </c>
      <c r="C330">
        <v>12567538</v>
      </c>
      <c r="D330">
        <v>25409</v>
      </c>
    </row>
    <row r="331" spans="1:4" x14ac:dyDescent="0.25">
      <c r="A331" t="str">
        <f>T("   200110")</f>
        <v xml:space="preserve">   200110</v>
      </c>
      <c r="B331" t="str">
        <f>T("   Concombres et cornichons, préparés ou conservés au vinaigre ou à l'acide acétique")</f>
        <v xml:space="preserve">   Concombres et cornichons, préparés ou conservés au vinaigre ou à l'acide acétique</v>
      </c>
      <c r="C331">
        <v>70345</v>
      </c>
      <c r="D331">
        <v>4735.6000000000004</v>
      </c>
    </row>
    <row r="332" spans="1:4" x14ac:dyDescent="0.25">
      <c r="A332" t="str">
        <f>T("   200190")</f>
        <v xml:space="preserve">   200190</v>
      </c>
      <c r="B332" t="str">
        <f>T("   Légumes, fruits et autres parties comestibles de plantes, préparés ou conservés au vinaigre ou à l'acide acétique (à l'excl. des concombres et des cornichons)")</f>
        <v xml:space="preserve">   Légumes, fruits et autres parties comestibles de plantes, préparés ou conservés au vinaigre ou à l'acide acétique (à l'excl. des concombres et des cornichons)</v>
      </c>
      <c r="C332">
        <v>7114332</v>
      </c>
      <c r="D332">
        <v>4735.6000000000004</v>
      </c>
    </row>
    <row r="333" spans="1:4" x14ac:dyDescent="0.25">
      <c r="A333" t="str">
        <f>T("   200799")</f>
        <v xml:space="preserve">   200799</v>
      </c>
      <c r="B333" t="s">
        <v>53</v>
      </c>
      <c r="C333">
        <v>886340</v>
      </c>
      <c r="D333">
        <v>4735.6000000000004</v>
      </c>
    </row>
    <row r="334" spans="1:4" x14ac:dyDescent="0.25">
      <c r="A334" t="str">
        <f>T("   210320")</f>
        <v xml:space="preserve">   210320</v>
      </c>
      <c r="B334" t="str">
        <f>T("   Tomato ketchup et autres sauces tomates")</f>
        <v xml:space="preserve">   Tomato ketchup et autres sauces tomates</v>
      </c>
      <c r="C334">
        <v>150071</v>
      </c>
      <c r="D334">
        <v>4735.6000000000004</v>
      </c>
    </row>
    <row r="335" spans="1:4" x14ac:dyDescent="0.25">
      <c r="A335" t="str">
        <f>T("   210390")</f>
        <v xml:space="preserve">   210390</v>
      </c>
      <c r="B335" t="str">
        <f>T("   Préparations pour sauces et sauces préparées; condiments et assaisonnements, composés (à l'excl. de la sauce de soja, du tomato ketchup et autres sauces tomates, de la farine de moutarde et de la moutarde préparée)")</f>
        <v xml:space="preserve">   Préparations pour sauces et sauces préparées; condiments et assaisonnements, composés (à l'excl. de la sauce de soja, du tomato ketchup et autres sauces tomates, de la farine de moutarde et de la moutarde préparée)</v>
      </c>
      <c r="C335">
        <v>984819</v>
      </c>
      <c r="D335">
        <v>4735.6000000000004</v>
      </c>
    </row>
    <row r="336" spans="1:4" x14ac:dyDescent="0.25">
      <c r="A336" t="str">
        <f>T("   491110")</f>
        <v xml:space="preserve">   491110</v>
      </c>
      <c r="B336" t="str">
        <f>T("   Imprimés publicitaires, catalogues commerciaux et simil.")</f>
        <v xml:space="preserve">   Imprimés publicitaires, catalogues commerciaux et simil.</v>
      </c>
      <c r="C336">
        <v>213056</v>
      </c>
      <c r="D336">
        <v>367</v>
      </c>
    </row>
    <row r="337" spans="1:4" x14ac:dyDescent="0.25">
      <c r="A337" t="str">
        <f>T("   520829")</f>
        <v xml:space="preserve">   520829</v>
      </c>
      <c r="B337" t="str">
        <f>T("   Tissus de coton, blanchis, contenant &gt;= 85% en poids de coton, d'un poids &lt;= 200 g/m² (à l'excl. des tissus à armure toile ou à armure sergé [y.c. le croisé] d'un rapport d'armure &lt;= 4)")</f>
        <v xml:space="preserve">   Tissus de coton, blanchis, contenant &gt;= 85% en poids de coton, d'un poids &lt;= 200 g/m² (à l'excl. des tissus à armure toile ou à armure sergé [y.c. le croisé] d'un rapport d'armure &lt;= 4)</v>
      </c>
      <c r="C337">
        <v>430000</v>
      </c>
      <c r="D337">
        <v>300</v>
      </c>
    </row>
    <row r="338" spans="1:4" x14ac:dyDescent="0.25">
      <c r="A338" t="str">
        <f>T("   847180")</f>
        <v xml:space="preserve">   847180</v>
      </c>
      <c r="B338" t="str">
        <f>T("   Unités de machines automatiques de traitement de l'information, numériques (à l'excl. des unités de traitement, unités d'entrée ou de sortie et unités de mémoire)")</f>
        <v xml:space="preserve">   Unités de machines automatiques de traitement de l'information, numériques (à l'excl. des unités de traitement, unités d'entrée ou de sortie et unités de mémoire)</v>
      </c>
      <c r="C338">
        <v>1106262</v>
      </c>
      <c r="D338">
        <v>76</v>
      </c>
    </row>
    <row r="339" spans="1:4" x14ac:dyDescent="0.25">
      <c r="A339" t="str">
        <f>T("   847190")</f>
        <v xml:space="preserve">   847190</v>
      </c>
      <c r="B339"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339">
        <v>412313</v>
      </c>
      <c r="D339">
        <v>3</v>
      </c>
    </row>
    <row r="340" spans="1:4" x14ac:dyDescent="0.25">
      <c r="A340" t="str">
        <f>T("   870322")</f>
        <v xml:space="preserve">   870322</v>
      </c>
      <c r="B340" t="s">
        <v>475</v>
      </c>
      <c r="C340">
        <v>1200000</v>
      </c>
      <c r="D340">
        <v>985</v>
      </c>
    </row>
    <row r="341" spans="1:4" x14ac:dyDescent="0.25">
      <c r="A341" t="str">
        <f>T("AM")</f>
        <v>AM</v>
      </c>
      <c r="B341" t="str">
        <f>T("Arménie")</f>
        <v>Arménie</v>
      </c>
    </row>
    <row r="342" spans="1:4" x14ac:dyDescent="0.25">
      <c r="A342" t="str">
        <f>T("   ZZ_Total_Produit_SH6")</f>
        <v xml:space="preserve">   ZZ_Total_Produit_SH6</v>
      </c>
      <c r="B342" t="str">
        <f>T("   ZZ_Total_Produit_SH6")</f>
        <v xml:space="preserve">   ZZ_Total_Produit_SH6</v>
      </c>
      <c r="C342">
        <v>13075133</v>
      </c>
      <c r="D342">
        <v>4228</v>
      </c>
    </row>
    <row r="343" spans="1:4" x14ac:dyDescent="0.25">
      <c r="A343" t="str">
        <f>T("   300420")</f>
        <v xml:space="preserve">   300420</v>
      </c>
      <c r="B343" t="s">
        <v>75</v>
      </c>
      <c r="C343">
        <v>450000</v>
      </c>
      <c r="D343">
        <v>247</v>
      </c>
    </row>
    <row r="344" spans="1:4" x14ac:dyDescent="0.25">
      <c r="A344" t="str">
        <f>T("   870322")</f>
        <v xml:space="preserve">   870322</v>
      </c>
      <c r="B344" t="s">
        <v>475</v>
      </c>
      <c r="C344">
        <v>11116134</v>
      </c>
      <c r="D344">
        <v>3780</v>
      </c>
    </row>
    <row r="345" spans="1:4" x14ac:dyDescent="0.25">
      <c r="A345" t="str">
        <f>T("   870899")</f>
        <v xml:space="preserve">   870899</v>
      </c>
      <c r="B345"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345">
        <v>968853</v>
      </c>
      <c r="D345">
        <v>30</v>
      </c>
    </row>
    <row r="346" spans="1:4" x14ac:dyDescent="0.25">
      <c r="A346" t="str">
        <f>T("   900999")</f>
        <v xml:space="preserve">   900999</v>
      </c>
      <c r="B346" t="str">
        <f>T("   Parties et accessoires d'appareils de photocopie et de thermocopie, n.d.a. (à l'excl. des dispositifs automatiques d'alimentation en documents, des dispositifs d'alimentation en papier et des dispositifs de tri)")</f>
        <v xml:space="preserve">   Parties et accessoires d'appareils de photocopie et de thermocopie, n.d.a. (à l'excl. des dispositifs automatiques d'alimentation en documents, des dispositifs d'alimentation en papier et des dispositifs de tri)</v>
      </c>
      <c r="C346">
        <v>258624</v>
      </c>
      <c r="D346">
        <v>51</v>
      </c>
    </row>
    <row r="347" spans="1:4" x14ac:dyDescent="0.25">
      <c r="A347" t="str">
        <f>T("   940180")</f>
        <v xml:space="preserve">   940180</v>
      </c>
      <c r="B347" t="str">
        <f>T("   Sièges, n.d.a.")</f>
        <v xml:space="preserve">   Sièges, n.d.a.</v>
      </c>
      <c r="C347">
        <v>281522</v>
      </c>
      <c r="D347">
        <v>120</v>
      </c>
    </row>
    <row r="348" spans="1:4" x14ac:dyDescent="0.25">
      <c r="A348" t="str">
        <f>T("AN")</f>
        <v>AN</v>
      </c>
      <c r="B348" t="str">
        <f>T("Antilles Néerlandaises")</f>
        <v>Antilles Néerlandaises</v>
      </c>
    </row>
    <row r="349" spans="1:4" x14ac:dyDescent="0.25">
      <c r="A349" t="str">
        <f>T("   ZZ_Total_Produit_SH6")</f>
        <v xml:space="preserve">   ZZ_Total_Produit_SH6</v>
      </c>
      <c r="B349" t="str">
        <f>T("   ZZ_Total_Produit_SH6")</f>
        <v xml:space="preserve">   ZZ_Total_Produit_SH6</v>
      </c>
      <c r="C349">
        <v>47328387</v>
      </c>
      <c r="D349">
        <v>28220</v>
      </c>
    </row>
    <row r="350" spans="1:4" x14ac:dyDescent="0.25">
      <c r="A350" t="str">
        <f>T("   020712")</f>
        <v xml:space="preserve">   020712</v>
      </c>
      <c r="B350" t="str">
        <f>T("   COQS ET POULES [DES ESPÈCES DOMESTIQUES], NON-DÉCOUPÉS EN MORCEAUX, CONGELÉS")</f>
        <v xml:space="preserve">   COQS ET POULES [DES ESPÈCES DOMESTIQUES], NON-DÉCOUPÉS EN MORCEAUX, CONGELÉS</v>
      </c>
      <c r="C350">
        <v>12587872</v>
      </c>
      <c r="D350">
        <v>20200</v>
      </c>
    </row>
    <row r="351" spans="1:4" x14ac:dyDescent="0.25">
      <c r="A351" t="str">
        <f>T("   020727")</f>
        <v xml:space="preserve">   020727</v>
      </c>
      <c r="B351" t="str">
        <f>T("   Morceaux et abats comestibles de dindes et dindons [des espèces domestiques], congelés")</f>
        <v xml:space="preserve">   Morceaux et abats comestibles de dindes et dindons [des espèces domestiques], congelés</v>
      </c>
      <c r="C351">
        <v>2991834</v>
      </c>
      <c r="D351">
        <v>4800</v>
      </c>
    </row>
    <row r="352" spans="1:4" x14ac:dyDescent="0.25">
      <c r="A352" t="str">
        <f>T("   300490")</f>
        <v xml:space="preserve">   300490</v>
      </c>
      <c r="B352" t="s">
        <v>78</v>
      </c>
      <c r="C352">
        <v>29822126</v>
      </c>
      <c r="D352">
        <v>3200</v>
      </c>
    </row>
    <row r="353" spans="1:4" x14ac:dyDescent="0.25">
      <c r="A353" t="str">
        <f>T("   820890")</f>
        <v xml:space="preserve">   820890</v>
      </c>
      <c r="B353" t="s">
        <v>371</v>
      </c>
      <c r="C353">
        <v>1926555</v>
      </c>
      <c r="D353">
        <v>20</v>
      </c>
    </row>
    <row r="354" spans="1:4" x14ac:dyDescent="0.25">
      <c r="A354" t="str">
        <f>T("AO")</f>
        <v>AO</v>
      </c>
      <c r="B354" t="str">
        <f>T("Angola")</f>
        <v>Angola</v>
      </c>
    </row>
    <row r="355" spans="1:4" x14ac:dyDescent="0.25">
      <c r="A355" t="str">
        <f>T("   ZZ_Total_Produit_SH6")</f>
        <v xml:space="preserve">   ZZ_Total_Produit_SH6</v>
      </c>
      <c r="B355" t="str">
        <f>T("   ZZ_Total_Produit_SH6")</f>
        <v xml:space="preserve">   ZZ_Total_Produit_SH6</v>
      </c>
      <c r="C355">
        <v>479643044</v>
      </c>
      <c r="D355">
        <v>1074075</v>
      </c>
    </row>
    <row r="356" spans="1:4" x14ac:dyDescent="0.25">
      <c r="A356" t="str">
        <f>T("   200990")</f>
        <v xml:space="preserve">   200990</v>
      </c>
      <c r="B356" t="str">
        <f>T("   MÉLANGES DE JUS DE FRUITS - Y.C. LES MOÛTS DE RAISIN - ET DE JUS DE LÉGUMES, NON-FERMENTÉS, SANS ADDITION D'ALCOOL, AVEC OU SANS ADDITION DE SUCRE OU D'AUTRES ÉDULCORANTS")</f>
        <v xml:space="preserve">   MÉLANGES DE JUS DE FRUITS - Y.C. LES MOÛTS DE RAISIN - ET DE JUS DE LÉGUMES, NON-FERMENTÉS, SANS ADDITION D'ALCOOL, AVEC OU SANS ADDITION DE SUCRE OU D'AUTRES ÉDULCORANTS</v>
      </c>
      <c r="C356">
        <v>2975719</v>
      </c>
      <c r="D356">
        <v>20207</v>
      </c>
    </row>
    <row r="357" spans="1:4" x14ac:dyDescent="0.25">
      <c r="A357" t="str">
        <f>T("   271113")</f>
        <v xml:space="preserve">   271113</v>
      </c>
      <c r="B357" t="str">
        <f>T("   Butanes, liquéfiés (à l'excl. des butanes d'une pureté &gt;= 95% en n-butane ou en isobutane)")</f>
        <v xml:space="preserve">   Butanes, liquéfiés (à l'excl. des butanes d'une pureté &gt;= 95% en n-butane ou en isobutane)</v>
      </c>
      <c r="C357">
        <v>135158400</v>
      </c>
      <c r="D357">
        <v>260000</v>
      </c>
    </row>
    <row r="358" spans="1:4" x14ac:dyDescent="0.25">
      <c r="A358" t="str">
        <f>T("   701090")</f>
        <v xml:space="preserve">   701090</v>
      </c>
      <c r="B358" t="s">
        <v>323</v>
      </c>
      <c r="C358">
        <v>341508925</v>
      </c>
      <c r="D358">
        <v>793868</v>
      </c>
    </row>
    <row r="359" spans="1:4" x14ac:dyDescent="0.25">
      <c r="A359" t="str">
        <f>T("AR")</f>
        <v>AR</v>
      </c>
      <c r="B359" t="str">
        <f>T("Argentine")</f>
        <v>Argentine</v>
      </c>
    </row>
    <row r="360" spans="1:4" x14ac:dyDescent="0.25">
      <c r="A360" t="str">
        <f>T("   ZZ_Total_Produit_SH6")</f>
        <v xml:space="preserve">   ZZ_Total_Produit_SH6</v>
      </c>
      <c r="B360" t="str">
        <f>T("   ZZ_Total_Produit_SH6")</f>
        <v xml:space="preserve">   ZZ_Total_Produit_SH6</v>
      </c>
      <c r="C360">
        <v>743007352</v>
      </c>
      <c r="D360">
        <v>1866780</v>
      </c>
    </row>
    <row r="361" spans="1:4" x14ac:dyDescent="0.25">
      <c r="A361" t="str">
        <f>T("   020712")</f>
        <v xml:space="preserve">   020712</v>
      </c>
      <c r="B361" t="str">
        <f>T("   COQS ET POULES [DES ESPÈCES DOMESTIQUES], NON-DÉCOUPÉS EN MORCEAUX, CONGELÉS")</f>
        <v xml:space="preserve">   COQS ET POULES [DES ESPÈCES DOMESTIQUES], NON-DÉCOUPÉS EN MORCEAUX, CONGELÉS</v>
      </c>
      <c r="C361">
        <v>342176447</v>
      </c>
      <c r="D361">
        <v>550100</v>
      </c>
    </row>
    <row r="362" spans="1:4" x14ac:dyDescent="0.25">
      <c r="A362" t="str">
        <f>T("   020714")</f>
        <v xml:space="preserve">   020714</v>
      </c>
      <c r="B362" t="str">
        <f>T("   Morceaux et abats comestibles de coqs et de poules [des espèces domestiques], congelés")</f>
        <v xml:space="preserve">   Morceaux et abats comestibles de coqs et de poules [des espèces domestiques], congelés</v>
      </c>
      <c r="C362">
        <v>62200376</v>
      </c>
      <c r="D362">
        <v>102000</v>
      </c>
    </row>
    <row r="363" spans="1:4" x14ac:dyDescent="0.25">
      <c r="A363" t="str">
        <f>T("   030378")</f>
        <v xml:space="preserve">   030378</v>
      </c>
      <c r="B363" t="str">
        <f>T("   Merlus [Merluccius spp., Urophycis spp.], congelés")</f>
        <v xml:space="preserve">   Merlus [Merluccius spp., Urophycis spp.], congelés</v>
      </c>
      <c r="C363">
        <v>6300000</v>
      </c>
      <c r="D363">
        <v>28000</v>
      </c>
    </row>
    <row r="364" spans="1:4" x14ac:dyDescent="0.25">
      <c r="A364" t="str">
        <f>T("   030379")</f>
        <v xml:space="preserve">   030379</v>
      </c>
      <c r="B364" t="s">
        <v>15</v>
      </c>
      <c r="C364">
        <v>77314894</v>
      </c>
      <c r="D364">
        <v>337620</v>
      </c>
    </row>
    <row r="365" spans="1:4" x14ac:dyDescent="0.25">
      <c r="A365" t="str">
        <f>T("   100590")</f>
        <v xml:space="preserve">   100590</v>
      </c>
      <c r="B365" t="str">
        <f>T("   Maïs (autre que de semence)")</f>
        <v xml:space="preserve">   Maïs (autre que de semence)</v>
      </c>
      <c r="C365">
        <v>228558686</v>
      </c>
      <c r="D365">
        <v>664544</v>
      </c>
    </row>
    <row r="366" spans="1:4" x14ac:dyDescent="0.25">
      <c r="A366" t="str">
        <f>T("   441119")</f>
        <v xml:space="preserve">   441119</v>
      </c>
      <c r="B366" t="s">
        <v>172</v>
      </c>
      <c r="C366">
        <v>26338762</v>
      </c>
      <c r="D366">
        <v>184478</v>
      </c>
    </row>
    <row r="367" spans="1:4" x14ac:dyDescent="0.25">
      <c r="A367" t="str">
        <f>T("   847090")</f>
        <v xml:space="preserve">   847090</v>
      </c>
      <c r="B367" t="str">
        <f>T("   Machines à affranchir, à établir les tickets et simil., avec dispositif de calcul (à l'excl. des machines comptables, des caisses enregistreuses et des distributeurs automatiques)")</f>
        <v xml:space="preserve">   Machines à affranchir, à établir les tickets et simil., avec dispositif de calcul (à l'excl. des machines comptables, des caisses enregistreuses et des distributeurs automatiques)</v>
      </c>
      <c r="C367">
        <v>118187</v>
      </c>
      <c r="D367">
        <v>38</v>
      </c>
    </row>
    <row r="368" spans="1:4" x14ac:dyDescent="0.25">
      <c r="A368" t="str">
        <f>T("AS")</f>
        <v>AS</v>
      </c>
      <c r="B368" t="str">
        <f>T("Samoa Américaines")</f>
        <v>Samoa Américaines</v>
      </c>
    </row>
    <row r="369" spans="1:4" x14ac:dyDescent="0.25">
      <c r="A369" t="str">
        <f>T("   ZZ_Total_Produit_SH6")</f>
        <v xml:space="preserve">   ZZ_Total_Produit_SH6</v>
      </c>
      <c r="B369" t="str">
        <f>T("   ZZ_Total_Produit_SH6")</f>
        <v xml:space="preserve">   ZZ_Total_Produit_SH6</v>
      </c>
      <c r="C369">
        <v>550000</v>
      </c>
      <c r="D369">
        <v>295</v>
      </c>
    </row>
    <row r="370" spans="1:4" x14ac:dyDescent="0.25">
      <c r="A370" t="str">
        <f>T("   490199")</f>
        <v xml:space="preserve">   490199</v>
      </c>
      <c r="B370"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370">
        <v>400000</v>
      </c>
      <c r="D370">
        <v>130</v>
      </c>
    </row>
    <row r="371" spans="1:4" x14ac:dyDescent="0.25">
      <c r="A371" t="str">
        <f>T("   850440")</f>
        <v xml:space="preserve">   850440</v>
      </c>
      <c r="B371" t="str">
        <f>T("   CONVERTISSEURS STATIQUES")</f>
        <v xml:space="preserve">   CONVERTISSEURS STATIQUES</v>
      </c>
      <c r="C371">
        <v>150000</v>
      </c>
      <c r="D371">
        <v>165</v>
      </c>
    </row>
    <row r="372" spans="1:4" x14ac:dyDescent="0.25">
      <c r="A372" t="str">
        <f>T("AT")</f>
        <v>AT</v>
      </c>
      <c r="B372" t="str">
        <f>T("Autriche")</f>
        <v>Autriche</v>
      </c>
    </row>
    <row r="373" spans="1:4" x14ac:dyDescent="0.25">
      <c r="A373" t="str">
        <f>T("   ZZ_Total_Produit_SH6")</f>
        <v xml:space="preserve">   ZZ_Total_Produit_SH6</v>
      </c>
      <c r="B373" t="str">
        <f>T("   ZZ_Total_Produit_SH6")</f>
        <v xml:space="preserve">   ZZ_Total_Produit_SH6</v>
      </c>
      <c r="C373">
        <v>738873065</v>
      </c>
      <c r="D373">
        <v>92571.55</v>
      </c>
    </row>
    <row r="374" spans="1:4" x14ac:dyDescent="0.25">
      <c r="A374" t="str">
        <f>T("   220290")</f>
        <v xml:space="preserve">   220290</v>
      </c>
      <c r="B374" t="str">
        <f>T("   BOISSONS NON-ALCOOLIQUES (À L'EXCL. DES EAUX, DES JUS DE FRUITS OU DE LÉGUMES AINSI QUE DU LAIT)")</f>
        <v xml:space="preserve">   BOISSONS NON-ALCOOLIQUES (À L'EXCL. DES EAUX, DES JUS DE FRUITS OU DE LÉGUMES AINSI QUE DU LAIT)</v>
      </c>
      <c r="C374">
        <v>25091126</v>
      </c>
      <c r="D374">
        <v>42390</v>
      </c>
    </row>
    <row r="375" spans="1:4" x14ac:dyDescent="0.25">
      <c r="A375" t="str">
        <f>T("   320990")</f>
        <v xml:space="preserve">   320990</v>
      </c>
      <c r="B375" t="str">
        <f>T("   Peintures et vernis à base de polymères synthétiques ou de polymères naturels modifiés, dispersés ou dissous dans un milieu aqueux (à l'excl. des produits à base de polymères acryliques ou vinyliques)")</f>
        <v xml:space="preserve">   Peintures et vernis à base de polymères synthétiques ou de polymères naturels modifiés, dispersés ou dissous dans un milieu aqueux (à l'excl. des produits à base de polymères acryliques ou vinyliques)</v>
      </c>
      <c r="C375">
        <v>499842</v>
      </c>
      <c r="D375">
        <v>13</v>
      </c>
    </row>
    <row r="376" spans="1:4" x14ac:dyDescent="0.25">
      <c r="A376" t="str">
        <f>T("   340220")</f>
        <v xml:space="preserve">   340220</v>
      </c>
      <c r="B376" t="s">
        <v>103</v>
      </c>
      <c r="C376">
        <v>85130</v>
      </c>
      <c r="D376">
        <v>1.33</v>
      </c>
    </row>
    <row r="377" spans="1:4" x14ac:dyDescent="0.25">
      <c r="A377" t="str">
        <f>T("   340290")</f>
        <v xml:space="preserve">   340290</v>
      </c>
      <c r="B377" t="s">
        <v>104</v>
      </c>
      <c r="C377">
        <v>302398</v>
      </c>
      <c r="D377">
        <v>2</v>
      </c>
    </row>
    <row r="378" spans="1:4" x14ac:dyDescent="0.25">
      <c r="A378" t="str">
        <f>T("   340399")</f>
        <v xml:space="preserve">   340399</v>
      </c>
      <c r="B378" t="s">
        <v>106</v>
      </c>
      <c r="C378">
        <v>1681225</v>
      </c>
      <c r="D378">
        <v>87</v>
      </c>
    </row>
    <row r="379" spans="1:4" x14ac:dyDescent="0.25">
      <c r="A379" t="str">
        <f>T("   382200")</f>
        <v xml:space="preserve">   382200</v>
      </c>
      <c r="B379" t="s">
        <v>125</v>
      </c>
      <c r="C379">
        <v>465732</v>
      </c>
      <c r="D379">
        <v>20</v>
      </c>
    </row>
    <row r="380" spans="1:4" x14ac:dyDescent="0.25">
      <c r="A380" t="str">
        <f>T("   392690")</f>
        <v xml:space="preserve">   392690</v>
      </c>
      <c r="B380" t="str">
        <f>T("   Ouvrages en matières plastiques et ouvrages en autres matières du n° 3901 à 3914, n.d.a.")</f>
        <v xml:space="preserve">   Ouvrages en matières plastiques et ouvrages en autres matières du n° 3901 à 3914, n.d.a.</v>
      </c>
      <c r="C380">
        <v>3020230</v>
      </c>
      <c r="D380">
        <v>7291</v>
      </c>
    </row>
    <row r="381" spans="1:4" x14ac:dyDescent="0.25">
      <c r="A381" t="str">
        <f>T("   400911")</f>
        <v xml:space="preserve">   400911</v>
      </c>
      <c r="B381" t="str">
        <f>T("   Tubes et tuyaux en caoutchouc vulcanisé non durci, non renforcés à l'aide d'autres matières ni autrement associés à d'autres matières, sans accessoires")</f>
        <v xml:space="preserve">   Tubes et tuyaux en caoutchouc vulcanisé non durci, non renforcés à l'aide d'autres matières ni autrement associés à d'autres matières, sans accessoires</v>
      </c>
      <c r="C381">
        <v>4420928</v>
      </c>
      <c r="D381">
        <v>159</v>
      </c>
    </row>
    <row r="382" spans="1:4" x14ac:dyDescent="0.25">
      <c r="A382" t="str">
        <f>T("   401693")</f>
        <v xml:space="preserve">   401693</v>
      </c>
      <c r="B382" t="str">
        <f>T("   Joints en caoutchouc vulcanisé non durci (à l'excl. des articles en caoutchouc alvéolaire)")</f>
        <v xml:space="preserve">   Joints en caoutchouc vulcanisé non durci (à l'excl. des articles en caoutchouc alvéolaire)</v>
      </c>
      <c r="C382">
        <v>258520</v>
      </c>
      <c r="D382">
        <v>25.2</v>
      </c>
    </row>
    <row r="383" spans="1:4" x14ac:dyDescent="0.25">
      <c r="A383" t="str">
        <f>T("   401699")</f>
        <v xml:space="preserve">   401699</v>
      </c>
      <c r="B383" t="str">
        <f>T("   OUVRAGES EN CAOUTCHOUC VULCANISÉ NON-DURCI, N.D.A.")</f>
        <v xml:space="preserve">   OUVRAGES EN CAOUTCHOUC VULCANISÉ NON-DURCI, N.D.A.</v>
      </c>
      <c r="C383">
        <v>454882</v>
      </c>
      <c r="D383">
        <v>10.1</v>
      </c>
    </row>
    <row r="384" spans="1:4" x14ac:dyDescent="0.25">
      <c r="A384" t="str">
        <f>T("   490199")</f>
        <v xml:space="preserve">   490199</v>
      </c>
      <c r="B384"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384">
        <v>1452479</v>
      </c>
      <c r="D384">
        <v>139</v>
      </c>
    </row>
    <row r="385" spans="1:4" x14ac:dyDescent="0.25">
      <c r="A385" t="str">
        <f>T("   591132")</f>
        <v xml:space="preserve">   591132</v>
      </c>
      <c r="B385" t="str">
        <f>T("   TISSUS ET FEUTRES SANS FIN OU MUNIS DE MOYENS DE JONCTION, DES TYPES UTILISÉS SUR LES MACHINES À PAPIER OU SUR DES MACHINES SIMIL. [À PÂTE, À AMIANTE-CIMENT, P.EX.], D'UN POIDS &gt;= 650 G/M²")</f>
        <v xml:space="preserve">   TISSUS ET FEUTRES SANS FIN OU MUNIS DE MOYENS DE JONCTION, DES TYPES UTILISÉS SUR LES MACHINES À PAPIER OU SUR DES MACHINES SIMIL. [À PÂTE, À AMIANTE-CIMENT, P.EX.], D'UN POIDS &gt;= 650 G/M²</v>
      </c>
      <c r="C385">
        <v>42804821</v>
      </c>
      <c r="D385">
        <v>1432</v>
      </c>
    </row>
    <row r="386" spans="1:4" x14ac:dyDescent="0.25">
      <c r="A386" t="str">
        <f>T("   620432")</f>
        <v xml:space="preserve">   620432</v>
      </c>
      <c r="B386" t="str">
        <f>T("   Vestes de coton, pour femmes ou fillettes (autres qu'en bonneterie et sauf anoraks et articles simil.)")</f>
        <v xml:space="preserve">   Vestes de coton, pour femmes ou fillettes (autres qu'en bonneterie et sauf anoraks et articles simil.)</v>
      </c>
      <c r="C386">
        <v>23614</v>
      </c>
      <c r="D386">
        <v>2.5</v>
      </c>
    </row>
    <row r="387" spans="1:4" x14ac:dyDescent="0.25">
      <c r="A387" t="str">
        <f>T("   680520")</f>
        <v xml:space="preserve">   680520</v>
      </c>
      <c r="B387" t="str">
        <f>T("   ABRASIFS NATURELS OU ARTIFICIELS EN POUDRE OU EN GRAINS, APPLIQUÉS SUR FOND EN MATIÈRES TEXTILES SEULEMENT, MÊME DÉCOUPÉS, COUSUS OU AUTREMENT ASSEMBLÉS")</f>
        <v xml:space="preserve">   ABRASIFS NATURELS OU ARTIFICIELS EN POUDRE OU EN GRAINS, APPLIQUÉS SUR FOND EN MATIÈRES TEXTILES SEULEMENT, MÊME DÉCOUPÉS, COUSUS OU AUTREMENT ASSEMBLÉS</v>
      </c>
      <c r="C387">
        <v>352906</v>
      </c>
      <c r="D387">
        <v>22</v>
      </c>
    </row>
    <row r="388" spans="1:4" x14ac:dyDescent="0.25">
      <c r="A388" t="str">
        <f>T("   702000")</f>
        <v xml:space="preserve">   702000</v>
      </c>
      <c r="B388" t="str">
        <f>T("   Ouvrages en verre n.d.a.")</f>
        <v xml:space="preserve">   Ouvrages en verre n.d.a.</v>
      </c>
      <c r="C388">
        <v>114793</v>
      </c>
      <c r="D388">
        <v>4</v>
      </c>
    </row>
    <row r="389" spans="1:4" x14ac:dyDescent="0.25">
      <c r="A389" t="str">
        <f>T("   730439")</f>
        <v xml:space="preserve">   730439</v>
      </c>
      <c r="B389" t="s">
        <v>344</v>
      </c>
      <c r="C389">
        <v>4324160</v>
      </c>
      <c r="D389">
        <v>419</v>
      </c>
    </row>
    <row r="390" spans="1:4" x14ac:dyDescent="0.25">
      <c r="A390" t="str">
        <f>T("   730729")</f>
        <v xml:space="preserve">   730729</v>
      </c>
      <c r="B390" t="str">
        <f>T("   ACCESSOIRES DE TUYAUTERIE, EN ACIERS INOXYDABLES (NON-MOULÉS ET SAUF BRIDES; COUDES, COURBES ET MANCHONS FILETÉS; ACCESSOIRES À SOUDER BOUT À BOUT)")</f>
        <v xml:space="preserve">   ACCESSOIRES DE TUYAUTERIE, EN ACIERS INOXYDABLES (NON-MOULÉS ET SAUF BRIDES; COUDES, COURBES ET MANCHONS FILETÉS; ACCESSOIRES À SOUDER BOUT À BOUT)</v>
      </c>
      <c r="C390">
        <v>300430</v>
      </c>
      <c r="D390">
        <v>11</v>
      </c>
    </row>
    <row r="391" spans="1:4" x14ac:dyDescent="0.25">
      <c r="A391" t="str">
        <f>T("   730799")</f>
        <v xml:space="preserve">   730799</v>
      </c>
      <c r="B391" t="str">
        <f>T("   Accessoires de tuyauterie, en fer ou aciers (autres que moulés ou en aciers inoxydables; sauf brides; coudes, courbes et manchons, filetés et sauf accessoires à souder bout à bout)")</f>
        <v xml:space="preserve">   Accessoires de tuyauterie, en fer ou aciers (autres que moulés ou en aciers inoxydables; sauf brides; coudes, courbes et manchons, filetés et sauf accessoires à souder bout à bout)</v>
      </c>
      <c r="C391">
        <v>3119555</v>
      </c>
      <c r="D391">
        <v>51</v>
      </c>
    </row>
    <row r="392" spans="1:4" x14ac:dyDescent="0.25">
      <c r="A392" t="str">
        <f>T("   731290")</f>
        <v xml:space="preserve">   731290</v>
      </c>
      <c r="B392" t="str">
        <f>T("   Tresses, élingues et simil., en fer ou en acier (sauf produits isolés pour l'électricité)")</f>
        <v xml:space="preserve">   Tresses, élingues et simil., en fer ou en acier (sauf produits isolés pour l'électricité)</v>
      </c>
      <c r="C392">
        <v>20624698</v>
      </c>
      <c r="D392">
        <v>3128</v>
      </c>
    </row>
    <row r="393" spans="1:4" x14ac:dyDescent="0.25">
      <c r="A393" t="str">
        <f>T("   731815")</f>
        <v xml:space="preserve">   731815</v>
      </c>
      <c r="B393" t="s">
        <v>354</v>
      </c>
      <c r="C393">
        <v>8892030</v>
      </c>
      <c r="D393">
        <v>732.6</v>
      </c>
    </row>
    <row r="394" spans="1:4" x14ac:dyDescent="0.25">
      <c r="A394" t="str">
        <f>T("   731816")</f>
        <v xml:space="preserve">   731816</v>
      </c>
      <c r="B394" t="str">
        <f>T("   ÉCROUS EN FONTE, FER OU ACIER")</f>
        <v xml:space="preserve">   ÉCROUS EN FONTE, FER OU ACIER</v>
      </c>
      <c r="C394">
        <v>133160</v>
      </c>
      <c r="D394">
        <v>4</v>
      </c>
    </row>
    <row r="395" spans="1:4" x14ac:dyDescent="0.25">
      <c r="A395" t="str">
        <f>T("   731822")</f>
        <v xml:space="preserve">   731822</v>
      </c>
      <c r="B395" t="str">
        <f>T("   Rondelles en fonte, fer ou acier (sauf rondelles destinées à faire ressort et autres rondelles de blocage)")</f>
        <v xml:space="preserve">   Rondelles en fonte, fer ou acier (sauf rondelles destinées à faire ressort et autres rondelles de blocage)</v>
      </c>
      <c r="C395">
        <v>278783</v>
      </c>
      <c r="D395">
        <v>15</v>
      </c>
    </row>
    <row r="396" spans="1:4" x14ac:dyDescent="0.25">
      <c r="A396" t="str">
        <f>T("   732090")</f>
        <v xml:space="preserve">   732090</v>
      </c>
      <c r="B396" t="s">
        <v>355</v>
      </c>
      <c r="C396">
        <v>758526</v>
      </c>
      <c r="D396">
        <v>30</v>
      </c>
    </row>
    <row r="397" spans="1:4" x14ac:dyDescent="0.25">
      <c r="A397" t="str">
        <f>T("   732690")</f>
        <v xml:space="preserve">   732690</v>
      </c>
      <c r="B397"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397">
        <v>4732456</v>
      </c>
      <c r="D397">
        <v>176.5</v>
      </c>
    </row>
    <row r="398" spans="1:4" x14ac:dyDescent="0.25">
      <c r="A398" t="str">
        <f>T("   820510")</f>
        <v xml:space="preserve">   820510</v>
      </c>
      <c r="B398" t="str">
        <f>T("   Outils de perçage, de filetage ou de taraudage, maniés à la main")</f>
        <v xml:space="preserve">   Outils de perçage, de filetage ou de taraudage, maniés à la main</v>
      </c>
      <c r="C398">
        <v>2841619</v>
      </c>
      <c r="D398">
        <v>96</v>
      </c>
    </row>
    <row r="399" spans="1:4" x14ac:dyDescent="0.25">
      <c r="A399" t="str">
        <f>T("   830210")</f>
        <v xml:space="preserve">   830210</v>
      </c>
      <c r="B399" t="str">
        <f>T("   Charnières de tous genres, y.c. les paumelles et pentures, en métaux communs")</f>
        <v xml:space="preserve">   Charnières de tous genres, y.c. les paumelles et pentures, en métaux communs</v>
      </c>
      <c r="C399">
        <v>1714194</v>
      </c>
      <c r="D399">
        <v>59.8</v>
      </c>
    </row>
    <row r="400" spans="1:4" x14ac:dyDescent="0.25">
      <c r="A400" t="str">
        <f>T("   831120")</f>
        <v xml:space="preserve">   831120</v>
      </c>
      <c r="B400" t="str">
        <f>T("   Fils fourrés en métaux communs, pour le soudage à l'arc")</f>
        <v xml:space="preserve">   Fils fourrés en métaux communs, pour le soudage à l'arc</v>
      </c>
      <c r="C400">
        <v>12398372</v>
      </c>
      <c r="D400">
        <v>1103</v>
      </c>
    </row>
    <row r="401" spans="1:4" x14ac:dyDescent="0.25">
      <c r="A401" t="str">
        <f>T("   840999")</f>
        <v xml:space="preserve">   840999</v>
      </c>
      <c r="B401" t="str">
        <f>T("   Parties reconnaissables comme étant exclusivement ou principalement destinées aux moteurs à piston à allumage par compression, n.d.a.")</f>
        <v xml:space="preserve">   Parties reconnaissables comme étant exclusivement ou principalement destinées aux moteurs à piston à allumage par compression, n.d.a.</v>
      </c>
      <c r="C401">
        <v>10543705</v>
      </c>
      <c r="D401">
        <v>390.67</v>
      </c>
    </row>
    <row r="402" spans="1:4" x14ac:dyDescent="0.25">
      <c r="A402" t="str">
        <f>T("   841231")</f>
        <v xml:space="preserve">   841231</v>
      </c>
      <c r="B402" t="str">
        <f>T("   Moteurs pneumatiques, à mouvement rectiligne -cylindres-")</f>
        <v xml:space="preserve">   Moteurs pneumatiques, à mouvement rectiligne -cylindres-</v>
      </c>
      <c r="C402">
        <v>25018249</v>
      </c>
      <c r="D402">
        <v>523</v>
      </c>
    </row>
    <row r="403" spans="1:4" x14ac:dyDescent="0.25">
      <c r="A403" t="str">
        <f>T("   841350")</f>
        <v xml:space="preserve">   841350</v>
      </c>
      <c r="B403" t="s">
        <v>390</v>
      </c>
      <c r="C403">
        <v>20458047</v>
      </c>
      <c r="D403">
        <v>358</v>
      </c>
    </row>
    <row r="404" spans="1:4" x14ac:dyDescent="0.25">
      <c r="A404" t="str">
        <f>T("   841381")</f>
        <v xml:space="preserve">   841381</v>
      </c>
      <c r="B404" t="s">
        <v>393</v>
      </c>
      <c r="C404">
        <v>1215756</v>
      </c>
      <c r="D404">
        <v>27</v>
      </c>
    </row>
    <row r="405" spans="1:4" x14ac:dyDescent="0.25">
      <c r="A405" t="str">
        <f>T("   841459")</f>
        <v xml:space="preserve">   841459</v>
      </c>
      <c r="B405" t="str">
        <f>T("   Ventilateurs (sauf ventilateurs de table, de sol, muraux, plafonniers, de toitures ou de fenêtres, à moteur électrique incorporé, d'une puissance &lt;= 125 W)")</f>
        <v xml:space="preserve">   Ventilateurs (sauf ventilateurs de table, de sol, muraux, plafonniers, de toitures ou de fenêtres, à moteur électrique incorporé, d'une puissance &lt;= 125 W)</v>
      </c>
      <c r="C405">
        <v>304365</v>
      </c>
      <c r="D405">
        <v>12</v>
      </c>
    </row>
    <row r="406" spans="1:4" x14ac:dyDescent="0.25">
      <c r="A406" t="str">
        <f>T("   842129")</f>
        <v xml:space="preserve">   842129</v>
      </c>
      <c r="B406" t="str">
        <f>T("   Appareils pour la filtration ou l'épuration des liquides (à l'excl. de l'eau ou des boissons, des huiles minérales et carburants pour les moteurs à allumage par étincelles ou par compression ainsi que les reins artificiels)")</f>
        <v xml:space="preserve">   Appareils pour la filtration ou l'épuration des liquides (à l'excl. de l'eau ou des boissons, des huiles minérales et carburants pour les moteurs à allumage par étincelles ou par compression ainsi que les reins artificiels)</v>
      </c>
      <c r="C406">
        <v>23615308</v>
      </c>
      <c r="D406">
        <v>534</v>
      </c>
    </row>
    <row r="407" spans="1:4" x14ac:dyDescent="0.25">
      <c r="A407" t="str">
        <f>T("   843120")</f>
        <v xml:space="preserve">   843120</v>
      </c>
      <c r="B407" t="str">
        <f>T("   Parties de chariots-gerbeurs et autres chariots de manutention munis d'un dispositif de levage, n.d.a.")</f>
        <v xml:space="preserve">   Parties de chariots-gerbeurs et autres chariots de manutention munis d'un dispositif de levage, n.d.a.</v>
      </c>
      <c r="C407">
        <v>128966550</v>
      </c>
      <c r="D407">
        <v>7497.6</v>
      </c>
    </row>
    <row r="408" spans="1:4" x14ac:dyDescent="0.25">
      <c r="A408" t="str">
        <f>T("   843139")</f>
        <v xml:space="preserve">   843139</v>
      </c>
      <c r="B408" t="str">
        <f>T("   Parties de machines et appareils du n° 8428, n.d.a.")</f>
        <v xml:space="preserve">   Parties de machines et appareils du n° 8428, n.d.a.</v>
      </c>
      <c r="C408">
        <v>5471599</v>
      </c>
      <c r="D408">
        <v>127</v>
      </c>
    </row>
    <row r="409" spans="1:4" x14ac:dyDescent="0.25">
      <c r="A409" t="str">
        <f>T("   843149")</f>
        <v xml:space="preserve">   843149</v>
      </c>
      <c r="B409" t="str">
        <f>T("   Parties de machines et appareils du n° 8426, 8429 ou 8430, n.d.a.")</f>
        <v xml:space="preserve">   Parties de machines et appareils du n° 8426, 8429 ou 8430, n.d.a.</v>
      </c>
      <c r="C409">
        <v>198606680</v>
      </c>
      <c r="D409">
        <v>7987.6</v>
      </c>
    </row>
    <row r="410" spans="1:4" x14ac:dyDescent="0.25">
      <c r="A410" t="str">
        <f>T("   847490")</f>
        <v xml:space="preserve">   847490</v>
      </c>
      <c r="B410" t="str">
        <f>T("   Parties des machines et appareils pour le travail des matières minérales du n° 8474, n.d.a.")</f>
        <v xml:space="preserve">   Parties des machines et appareils pour le travail des matières minérales du n° 8474, n.d.a.</v>
      </c>
      <c r="C410">
        <v>34345410</v>
      </c>
      <c r="D410">
        <v>12124</v>
      </c>
    </row>
    <row r="411" spans="1:4" x14ac:dyDescent="0.25">
      <c r="A411" t="str">
        <f>T("   848180")</f>
        <v xml:space="preserve">   848180</v>
      </c>
      <c r="B411" t="str">
        <f>T("   Articles de robinetterie et organes simil. pour tuyauteries, etc. (à l'excl. des détendeurs, valves pour transmissions oléohydrauliques ou pneumatiques, clapets et soupapes de retenue et sauf soupapes de trop-plein ou de sûreté)")</f>
        <v xml:space="preserve">   Articles de robinetterie et organes simil. pour tuyauteries, etc. (à l'excl. des détendeurs, valves pour transmissions oléohydrauliques ou pneumatiques, clapets et soupapes de retenue et sauf soupapes de trop-plein ou de sûreté)</v>
      </c>
      <c r="C411">
        <v>8678776</v>
      </c>
      <c r="D411">
        <v>57.1</v>
      </c>
    </row>
    <row r="412" spans="1:4" x14ac:dyDescent="0.25">
      <c r="A412" t="str">
        <f>T("   848190")</f>
        <v xml:space="preserve">   848190</v>
      </c>
      <c r="B412" t="str">
        <f>T("   Parties d'articles de robinetterie et organes simil. pour tuyauterie, etc., n.d.a.")</f>
        <v xml:space="preserve">   Parties d'articles de robinetterie et organes simil. pour tuyauterie, etc., n.d.a.</v>
      </c>
      <c r="C412">
        <v>1077749</v>
      </c>
      <c r="D412">
        <v>6</v>
      </c>
    </row>
    <row r="413" spans="1:4" x14ac:dyDescent="0.25">
      <c r="A413" t="str">
        <f>T("   848210")</f>
        <v xml:space="preserve">   848210</v>
      </c>
      <c r="B413" t="str">
        <f>T("   Roulements à billes")</f>
        <v xml:space="preserve">   Roulements à billes</v>
      </c>
      <c r="C413">
        <v>3445758</v>
      </c>
      <c r="D413">
        <v>163</v>
      </c>
    </row>
    <row r="414" spans="1:4" x14ac:dyDescent="0.25">
      <c r="A414" t="str">
        <f>T("   848250")</f>
        <v xml:space="preserve">   848250</v>
      </c>
      <c r="B414" t="str">
        <f>T("   Roulements à rouleaux cylindriques")</f>
        <v xml:space="preserve">   Roulements à rouleaux cylindriques</v>
      </c>
      <c r="C414">
        <v>1153374</v>
      </c>
      <c r="D414">
        <v>50</v>
      </c>
    </row>
    <row r="415" spans="1:4" x14ac:dyDescent="0.25">
      <c r="A415" t="str">
        <f>T("   848280")</f>
        <v xml:space="preserve">   848280</v>
      </c>
      <c r="B415" t="s">
        <v>442</v>
      </c>
      <c r="C415">
        <v>314598</v>
      </c>
      <c r="D415">
        <v>35</v>
      </c>
    </row>
    <row r="416" spans="1:4" x14ac:dyDescent="0.25">
      <c r="A416" t="str">
        <f>T("   848310")</f>
        <v xml:space="preserve">   848310</v>
      </c>
      <c r="B416" t="str">
        <f>T("   Arbres de transmission pour machines, y.c. -les arbres à cames et les vilebrequins- et manivelles")</f>
        <v xml:space="preserve">   Arbres de transmission pour machines, y.c. -les arbres à cames et les vilebrequins- et manivelles</v>
      </c>
      <c r="C416">
        <v>5256404</v>
      </c>
      <c r="D416">
        <v>144</v>
      </c>
    </row>
    <row r="417" spans="1:4" x14ac:dyDescent="0.25">
      <c r="A417" t="str">
        <f>T("   848350")</f>
        <v xml:space="preserve">   848350</v>
      </c>
      <c r="B417" t="str">
        <f>T("   Volants et poulies, y.c. les poulies à moufles")</f>
        <v xml:space="preserve">   Volants et poulies, y.c. les poulies à moufles</v>
      </c>
      <c r="C417">
        <v>16315693</v>
      </c>
      <c r="D417">
        <v>1350</v>
      </c>
    </row>
    <row r="418" spans="1:4" x14ac:dyDescent="0.25">
      <c r="A418" t="str">
        <f>T("   848390")</f>
        <v xml:space="preserve">   848390</v>
      </c>
      <c r="B418" t="str">
        <f>T("   Roues dentées et autres organes élémentaires de transmission présentés séparément; parties d'organes mécaniques, d'organes de transmission, d'engrenages, de variateurs de vitesses, d'organes d'accouplement et d'autres organes du n° 8483, n.d.a.")</f>
        <v xml:space="preserve">   Roues dentées et autres organes élémentaires de transmission présentés séparément; parties d'organes mécaniques, d'organes de transmission, d'engrenages, de variateurs de vitesses, d'organes d'accouplement et d'autres organes du n° 8483, n.d.a.</v>
      </c>
      <c r="C418">
        <v>507745</v>
      </c>
      <c r="D418">
        <v>8</v>
      </c>
    </row>
    <row r="419" spans="1:4" x14ac:dyDescent="0.25">
      <c r="A419" t="str">
        <f>T("   848410")</f>
        <v xml:space="preserve">   848410</v>
      </c>
      <c r="B419" t="str">
        <f>T("   Joints métalloplastiques")</f>
        <v xml:space="preserve">   Joints métalloplastiques</v>
      </c>
      <c r="C419">
        <v>236146</v>
      </c>
      <c r="D419">
        <v>11</v>
      </c>
    </row>
    <row r="420" spans="1:4" x14ac:dyDescent="0.25">
      <c r="A420" t="str">
        <f>T("   848490")</f>
        <v xml:space="preserve">   848490</v>
      </c>
      <c r="B420" t="str">
        <f>T("   Jeux ou assortiments de joints de composition différente présentés en pochettes, enveloppes ou emballages analogues")</f>
        <v xml:space="preserve">   Jeux ou assortiments de joints de composition différente présentés en pochettes, enveloppes ou emballages analogues</v>
      </c>
      <c r="C420">
        <v>3318686</v>
      </c>
      <c r="D420">
        <v>99</v>
      </c>
    </row>
    <row r="421" spans="1:4" x14ac:dyDescent="0.25">
      <c r="A421" t="str">
        <f>T("   850152")</f>
        <v xml:space="preserve">   850152</v>
      </c>
      <c r="B421" t="str">
        <f>T("   Moteurs à courant alternatif, polyphasés, puissance &gt; 750 W mais &lt;= 75 kW")</f>
        <v xml:space="preserve">   Moteurs à courant alternatif, polyphasés, puissance &gt; 750 W mais &lt;= 75 kW</v>
      </c>
      <c r="C421">
        <v>1381262</v>
      </c>
      <c r="D421">
        <v>600</v>
      </c>
    </row>
    <row r="422" spans="1:4" x14ac:dyDescent="0.25">
      <c r="A422" t="str">
        <f>T("   851140")</f>
        <v xml:space="preserve">   851140</v>
      </c>
      <c r="B422" t="str">
        <f>T("   Démarreurs, même fonctionnant comme génératrices, pour moteurs à allumage par étincelles ou par compression")</f>
        <v xml:space="preserve">   Démarreurs, même fonctionnant comme génératrices, pour moteurs à allumage par étincelles ou par compression</v>
      </c>
      <c r="C422">
        <v>3185998</v>
      </c>
      <c r="D422">
        <v>29.5</v>
      </c>
    </row>
    <row r="423" spans="1:4" x14ac:dyDescent="0.25">
      <c r="A423" t="str">
        <f>T("   851240")</f>
        <v xml:space="preserve">   851240</v>
      </c>
      <c r="B423" t="str">
        <f>T("   Essuie-glaces, dégivreurs et dispositifs antibuée électriques, des types utilisés pour automobiles")</f>
        <v xml:space="preserve">   Essuie-glaces, dégivreurs et dispositifs antibuée électriques, des types utilisés pour automobiles</v>
      </c>
      <c r="C423">
        <v>20669063</v>
      </c>
      <c r="D423">
        <v>559</v>
      </c>
    </row>
    <row r="424" spans="1:4" x14ac:dyDescent="0.25">
      <c r="A424" t="str">
        <f>T("   851529")</f>
        <v xml:space="preserve">   851529</v>
      </c>
      <c r="B424" t="str">
        <f>T("   MACHINES ET APPAREILS POUR LE SOUDAGE DES MÉTAUX PAR RÉSISTANCE, NON-AUTOMATIQUES")</f>
        <v xml:space="preserve">   MACHINES ET APPAREILS POUR LE SOUDAGE DES MÉTAUX PAR RÉSISTANCE, NON-AUTOMATIQUES</v>
      </c>
      <c r="C424">
        <v>2778647</v>
      </c>
      <c r="D424">
        <v>163</v>
      </c>
    </row>
    <row r="425" spans="1:4" x14ac:dyDescent="0.25">
      <c r="A425" t="str">
        <f>T("   851830")</f>
        <v xml:space="preserve">   851830</v>
      </c>
      <c r="B425" t="s">
        <v>455</v>
      </c>
      <c r="C425">
        <v>105662</v>
      </c>
      <c r="D425">
        <v>4</v>
      </c>
    </row>
    <row r="426" spans="1:4" x14ac:dyDescent="0.25">
      <c r="A426" t="str">
        <f>T("   853650")</f>
        <v xml:space="preserve">   853650</v>
      </c>
      <c r="B426" t="str">
        <f>T("   Interrupteurs, sectionneurs et commutateurs, pour une tension &lt;= 1.000 V (autres que relais et disjoncteurs)")</f>
        <v xml:space="preserve">   Interrupteurs, sectionneurs et commutateurs, pour une tension &lt;= 1.000 V (autres que relais et disjoncteurs)</v>
      </c>
      <c r="C426">
        <v>245020</v>
      </c>
      <c r="D426">
        <v>1.3</v>
      </c>
    </row>
    <row r="427" spans="1:4" x14ac:dyDescent="0.25">
      <c r="A427" t="str">
        <f>T("   853669")</f>
        <v xml:space="preserve">   853669</v>
      </c>
      <c r="B427" t="str">
        <f>T("   Fiches et prises de courant, pour une tension &lt;= 1.000 V (sauf douilles pour lampes)")</f>
        <v xml:space="preserve">   Fiches et prises de courant, pour une tension &lt;= 1.000 V (sauf douilles pour lampes)</v>
      </c>
      <c r="C427">
        <v>73271</v>
      </c>
      <c r="D427">
        <v>3</v>
      </c>
    </row>
    <row r="428" spans="1:4" x14ac:dyDescent="0.25">
      <c r="A428" t="str">
        <f>T("   853810")</f>
        <v xml:space="preserve">   853810</v>
      </c>
      <c r="B428" t="str">
        <f>T("   Tableaux, panneaux, consoles, pupitres, armoires et autres supports pour articles du n° 8537, dépourvus de leurs appareils")</f>
        <v xml:space="preserve">   Tableaux, panneaux, consoles, pupitres, armoires et autres supports pour articles du n° 8537, dépourvus de leurs appareils</v>
      </c>
      <c r="C428">
        <v>13136255</v>
      </c>
      <c r="D428">
        <v>66</v>
      </c>
    </row>
    <row r="429" spans="1:4" x14ac:dyDescent="0.25">
      <c r="A429" t="str">
        <f>T("   853929")</f>
        <v xml:space="preserve">   853929</v>
      </c>
      <c r="B429" t="str">
        <f>T("   Lampes et tubes à incandescence électriques (autres que lampes et tubes halogènes, au tungstène, lampes d'une puissance &lt;= 200 W et pour une tension &gt; 100 V, et lampes à rayons ultraviolets ou infrarouges)")</f>
        <v xml:space="preserve">   Lampes et tubes à incandescence électriques (autres que lampes et tubes halogènes, au tungstène, lampes d'une puissance &lt;= 200 W et pour une tension &gt; 100 V, et lampes à rayons ultraviolets ou infrarouges)</v>
      </c>
      <c r="C429">
        <v>14716463</v>
      </c>
      <c r="D429">
        <v>573</v>
      </c>
    </row>
    <row r="430" spans="1:4" x14ac:dyDescent="0.25">
      <c r="A430" t="str">
        <f>T("   854460")</f>
        <v xml:space="preserve">   854460</v>
      </c>
      <c r="B430" t="str">
        <f>T("   Conducteurs électriques, pour tension &gt; 1.000 V, n.d.a.")</f>
        <v xml:space="preserve">   Conducteurs électriques, pour tension &gt; 1.000 V, n.d.a.</v>
      </c>
      <c r="C430">
        <v>35576653</v>
      </c>
      <c r="D430">
        <v>610.5</v>
      </c>
    </row>
    <row r="431" spans="1:4" x14ac:dyDescent="0.25">
      <c r="A431" t="str">
        <f>T("   854470")</f>
        <v xml:space="preserve">   854470</v>
      </c>
      <c r="B431" t="str">
        <f>T("   Câbles de fibres optiques constitués de fibres optiques gainées individuellement, comportant également des conducteurs électriques ou munis de pièces de connexion")</f>
        <v xml:space="preserve">   Câbles de fibres optiques constitués de fibres optiques gainées individuellement, comportant également des conducteurs électriques ou munis de pièces de connexion</v>
      </c>
      <c r="C431">
        <v>747561</v>
      </c>
      <c r="D431">
        <v>7.55</v>
      </c>
    </row>
    <row r="432" spans="1:4" x14ac:dyDescent="0.25">
      <c r="A432" t="str">
        <f>T("   870899")</f>
        <v xml:space="preserve">   870899</v>
      </c>
      <c r="B432"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432">
        <v>7685700</v>
      </c>
      <c r="D432">
        <v>736</v>
      </c>
    </row>
    <row r="433" spans="1:4" x14ac:dyDescent="0.25">
      <c r="A433" t="str">
        <f>T("   902620")</f>
        <v xml:space="preserve">   902620</v>
      </c>
      <c r="B433" t="str">
        <f>T("   Instruments et appareils pour la mesure ou le contrôle de la pression des liquides ou des gaz (à l'excl. des instruments et appareils pour la régulation ou le contrôle automatiques)")</f>
        <v xml:space="preserve">   Instruments et appareils pour la mesure ou le contrôle de la pression des liquides ou des gaz (à l'excl. des instruments et appareils pour la régulation ou le contrôle automatiques)</v>
      </c>
      <c r="C433">
        <v>140297</v>
      </c>
      <c r="D433">
        <v>0.6</v>
      </c>
    </row>
    <row r="434" spans="1:4" x14ac:dyDescent="0.25">
      <c r="A434" t="str">
        <f>T("   903190")</f>
        <v xml:space="preserve">   903190</v>
      </c>
      <c r="B434" t="str">
        <f>T("   Parties et accessoires des instruments, appareils et machines de mesure ou de contrôle, n.d.a.")</f>
        <v xml:space="preserve">   Parties et accessoires des instruments, appareils et machines de mesure ou de contrôle, n.d.a.</v>
      </c>
      <c r="C434">
        <v>1068559</v>
      </c>
      <c r="D434">
        <v>9.4</v>
      </c>
    </row>
    <row r="435" spans="1:4" x14ac:dyDescent="0.25">
      <c r="A435" t="str">
        <f>T("   903289")</f>
        <v xml:space="preserve">   903289</v>
      </c>
      <c r="B435" t="s">
        <v>503</v>
      </c>
      <c r="C435">
        <v>166286</v>
      </c>
      <c r="D435">
        <v>0.7</v>
      </c>
    </row>
    <row r="436" spans="1:4" x14ac:dyDescent="0.25">
      <c r="A436" t="str">
        <f>T("   940540")</f>
        <v xml:space="preserve">   940540</v>
      </c>
      <c r="B436" t="str">
        <f>T("   Appareils d'éclairage électrique, n.d.a.")</f>
        <v xml:space="preserve">   Appareils d'éclairage électrique, n.d.a.</v>
      </c>
      <c r="C436">
        <v>7199161</v>
      </c>
      <c r="D436">
        <v>280</v>
      </c>
    </row>
    <row r="437" spans="1:4" x14ac:dyDescent="0.25">
      <c r="A437" t="str">
        <f>T("AU")</f>
        <v>AU</v>
      </c>
      <c r="B437" t="str">
        <f>T("Australie")</f>
        <v>Australie</v>
      </c>
    </row>
    <row r="438" spans="1:4" x14ac:dyDescent="0.25">
      <c r="A438" t="str">
        <f>T("   ZZ_Total_Produit_SH6")</f>
        <v xml:space="preserve">   ZZ_Total_Produit_SH6</v>
      </c>
      <c r="B438" t="str">
        <f>T("   ZZ_Total_Produit_SH6")</f>
        <v xml:space="preserve">   ZZ_Total_Produit_SH6</v>
      </c>
      <c r="C438">
        <v>498791777</v>
      </c>
      <c r="D438">
        <v>767252.5</v>
      </c>
    </row>
    <row r="439" spans="1:4" x14ac:dyDescent="0.25">
      <c r="A439" t="str">
        <f>T("   020712")</f>
        <v xml:space="preserve">   020712</v>
      </c>
      <c r="B439" t="str">
        <f>T("   COQS ET POULES [DES ESPÈCES DOMESTIQUES], NON-DÉCOUPÉS EN MORCEAUX, CONGELÉS")</f>
        <v xml:space="preserve">   COQS ET POULES [DES ESPÈCES DOMESTIQUES], NON-DÉCOUPÉS EN MORCEAUX, CONGELÉS</v>
      </c>
      <c r="C439">
        <v>30478526</v>
      </c>
      <c r="D439">
        <v>44354</v>
      </c>
    </row>
    <row r="440" spans="1:4" x14ac:dyDescent="0.25">
      <c r="A440" t="str">
        <f>T("   020714")</f>
        <v xml:space="preserve">   020714</v>
      </c>
      <c r="B440" t="str">
        <f>T("   Morceaux et abats comestibles de coqs et de poules [des espèces domestiques], congelés")</f>
        <v xml:space="preserve">   Morceaux et abats comestibles de coqs et de poules [des espèces domestiques], congelés</v>
      </c>
      <c r="C440">
        <v>249389977</v>
      </c>
      <c r="D440">
        <v>398390</v>
      </c>
    </row>
    <row r="441" spans="1:4" x14ac:dyDescent="0.25">
      <c r="A441" t="str">
        <f>T("   020727")</f>
        <v xml:space="preserve">   020727</v>
      </c>
      <c r="B441" t="str">
        <f>T("   Morceaux et abats comestibles de dindes et dindons [des espèces domestiques], congelés")</f>
        <v xml:space="preserve">   Morceaux et abats comestibles de dindes et dindons [des espèces domestiques], congelés</v>
      </c>
      <c r="C441">
        <v>15550188</v>
      </c>
      <c r="D441">
        <v>25000</v>
      </c>
    </row>
    <row r="442" spans="1:4" x14ac:dyDescent="0.25">
      <c r="A442" t="str">
        <f>T("   030379")</f>
        <v xml:space="preserve">   030379</v>
      </c>
      <c r="B442" t="s">
        <v>15</v>
      </c>
      <c r="C442">
        <v>5129045</v>
      </c>
      <c r="D442">
        <v>22795</v>
      </c>
    </row>
    <row r="443" spans="1:4" x14ac:dyDescent="0.25">
      <c r="A443" t="str">
        <f>T("   392350")</f>
        <v xml:space="preserve">   392350</v>
      </c>
      <c r="B443" t="str">
        <f>T("   Bouchons, couvercles, capsules et autres dispositifs de fermeture, en matières plastiques")</f>
        <v xml:space="preserve">   Bouchons, couvercles, capsules et autres dispositifs de fermeture, en matières plastiques</v>
      </c>
      <c r="C443">
        <v>3607800</v>
      </c>
      <c r="D443">
        <v>7175</v>
      </c>
    </row>
    <row r="444" spans="1:4" x14ac:dyDescent="0.25">
      <c r="A444" t="str">
        <f>T("   400911")</f>
        <v xml:space="preserve">   400911</v>
      </c>
      <c r="B444" t="str">
        <f>T("   Tubes et tuyaux en caoutchouc vulcanisé non durci, non renforcés à l'aide d'autres matières ni autrement associés à d'autres matières, sans accessoires")</f>
        <v xml:space="preserve">   Tubes et tuyaux en caoutchouc vulcanisé non durci, non renforcés à l'aide d'autres matières ni autrement associés à d'autres matières, sans accessoires</v>
      </c>
      <c r="C444">
        <v>2533842</v>
      </c>
      <c r="D444">
        <v>25</v>
      </c>
    </row>
    <row r="445" spans="1:4" x14ac:dyDescent="0.25">
      <c r="A445" t="str">
        <f>T("   401219")</f>
        <v xml:space="preserve">   401219</v>
      </c>
      <c r="B445" t="str">
        <f>T("   Pneumatiques rechapés, en caoutchouc (à l'excl. des pneumatiques des types utilisés pour les voitures de tourisme, les voitures du type 'break', les voitures de course, les autobus, les camions ou les véhicules aériens)")</f>
        <v xml:space="preserve">   Pneumatiques rechapés, en caoutchouc (à l'excl. des pneumatiques des types utilisés pour les voitures de tourisme, les voitures du type 'break', les voitures de course, les autobus, les camions ou les véhicules aériens)</v>
      </c>
      <c r="C445">
        <v>3480000</v>
      </c>
      <c r="D445">
        <v>18000</v>
      </c>
    </row>
    <row r="446" spans="1:4" x14ac:dyDescent="0.25">
      <c r="A446" t="str">
        <f>T("   401220")</f>
        <v xml:space="preserve">   401220</v>
      </c>
      <c r="B446" t="str">
        <f>T("   Pneumatiques usagés, en caoutchouc")</f>
        <v xml:space="preserve">   Pneumatiques usagés, en caoutchouc</v>
      </c>
      <c r="C446">
        <v>4203459</v>
      </c>
      <c r="D446">
        <v>28025</v>
      </c>
    </row>
    <row r="447" spans="1:4" x14ac:dyDescent="0.25">
      <c r="A447" t="str">
        <f>T("   401699")</f>
        <v xml:space="preserve">   401699</v>
      </c>
      <c r="B447" t="str">
        <f>T("   OUVRAGES EN CAOUTCHOUC VULCANISÉ NON-DURCI, N.D.A.")</f>
        <v xml:space="preserve">   OUVRAGES EN CAOUTCHOUC VULCANISÉ NON-DURCI, N.D.A.</v>
      </c>
      <c r="C447">
        <v>653861</v>
      </c>
      <c r="D447">
        <v>5</v>
      </c>
    </row>
    <row r="448" spans="1:4" x14ac:dyDescent="0.25">
      <c r="A448" t="str">
        <f>T("   420222")</f>
        <v xml:space="preserve">   420222</v>
      </c>
      <c r="B448" t="str">
        <f>T("   Sacs à main, même à bandoulière, y.c. ceux sans poignée, à surface extérieure en feuilles de matières plastiques ou en matières textiles")</f>
        <v xml:space="preserve">   Sacs à main, même à bandoulière, y.c. ceux sans poignée, à surface extérieure en feuilles de matières plastiques ou en matières textiles</v>
      </c>
      <c r="C448">
        <v>3659358</v>
      </c>
      <c r="D448">
        <v>6050</v>
      </c>
    </row>
    <row r="449" spans="1:4" x14ac:dyDescent="0.25">
      <c r="A449" t="str">
        <f>T("   420229")</f>
        <v xml:space="preserve">   420229</v>
      </c>
      <c r="B449" t="str">
        <f>T("   Sacs à main, même à bandoulière, y.c. ceux sans poignée, à surface extérieure en fibre vulcanisée ou en carton, ou recouverts, en totalité ou en majeure partie, de ces mêmes matières ou de papier")</f>
        <v xml:space="preserve">   Sacs à main, même à bandoulière, y.c. ceux sans poignée, à surface extérieure en fibre vulcanisée ou en carton, ou recouverts, en totalité ou en majeure partie, de ces mêmes matières ou de papier</v>
      </c>
      <c r="C449">
        <v>1155145</v>
      </c>
      <c r="D449">
        <v>1650</v>
      </c>
    </row>
    <row r="450" spans="1:4" x14ac:dyDescent="0.25">
      <c r="A450" t="str">
        <f>T("   482090")</f>
        <v xml:space="preserve">   482090</v>
      </c>
      <c r="B450" t="s">
        <v>217</v>
      </c>
      <c r="C450">
        <v>327980</v>
      </c>
      <c r="D450">
        <v>260</v>
      </c>
    </row>
    <row r="451" spans="1:4" x14ac:dyDescent="0.25">
      <c r="A451" t="str">
        <f>T("   521224")</f>
        <v xml:space="preserve">   521224</v>
      </c>
      <c r="B451" t="str">
        <f>T("   Tissus de coton, en fils de diverses couleurs, contenant en prédominance, mais &lt; 85% en poids de coton, autres que mélangés principalement ou uniquement avec des fibres synthétiques ou artificielles, d'un poids &gt; 200 g/m²")</f>
        <v xml:space="preserve">   Tissus de coton, en fils de diverses couleurs, contenant en prédominance, mais &lt; 85% en poids de coton, autres que mélangés principalement ou uniquement avec des fibres synthétiques ou artificielles, d'un poids &gt; 200 g/m²</v>
      </c>
      <c r="C451">
        <v>898665</v>
      </c>
      <c r="D451">
        <v>89.6</v>
      </c>
    </row>
    <row r="452" spans="1:4" x14ac:dyDescent="0.25">
      <c r="A452" t="str">
        <f>T("   610910")</f>
        <v xml:space="preserve">   610910</v>
      </c>
      <c r="B452" t="str">
        <f>T("   T-shirts et maillots de corps, en bonneterie, de coton,")</f>
        <v xml:space="preserve">   T-shirts et maillots de corps, en bonneterie, de coton,</v>
      </c>
      <c r="C452">
        <v>74500</v>
      </c>
      <c r="D452">
        <v>1</v>
      </c>
    </row>
    <row r="453" spans="1:4" x14ac:dyDescent="0.25">
      <c r="A453" t="str">
        <f>T("   621040")</f>
        <v xml:space="preserve">   621040</v>
      </c>
      <c r="B453" t="s">
        <v>272</v>
      </c>
      <c r="C453">
        <v>2709115</v>
      </c>
      <c r="D453">
        <v>4928</v>
      </c>
    </row>
    <row r="454" spans="1:4" x14ac:dyDescent="0.25">
      <c r="A454" t="str">
        <f>T("   630900")</f>
        <v xml:space="preserve">   630900</v>
      </c>
      <c r="B454" t="s">
        <v>280</v>
      </c>
      <c r="C454">
        <v>77488386</v>
      </c>
      <c r="D454">
        <v>125424</v>
      </c>
    </row>
    <row r="455" spans="1:4" x14ac:dyDescent="0.25">
      <c r="A455" t="str">
        <f>T("   640299")</f>
        <v xml:space="preserve">   640299</v>
      </c>
      <c r="B455" t="s">
        <v>285</v>
      </c>
      <c r="C455">
        <v>8732319</v>
      </c>
      <c r="D455">
        <v>13650</v>
      </c>
    </row>
    <row r="456" spans="1:4" x14ac:dyDescent="0.25">
      <c r="A456" t="str">
        <f>T("   640590")</f>
        <v xml:space="preserve">   640590</v>
      </c>
      <c r="B456" t="s">
        <v>290</v>
      </c>
      <c r="C456">
        <v>3745532</v>
      </c>
      <c r="D456">
        <v>4330</v>
      </c>
    </row>
    <row r="457" spans="1:4" x14ac:dyDescent="0.25">
      <c r="A457" t="str">
        <f>T("   841710")</f>
        <v xml:space="preserve">   841710</v>
      </c>
      <c r="B457" t="str">
        <f>T("   Fours industriels ou de laboratoire, non-électriques, pour le grillage, la fusion ou autres traitements thermiques des minerais, de la pyrite ou des métaux (à l'excl. des étuves)")</f>
        <v xml:space="preserve">   Fours industriels ou de laboratoire, non-électriques, pour le grillage, la fusion ou autres traitements thermiques des minerais, de la pyrite ou des métaux (à l'excl. des étuves)</v>
      </c>
      <c r="C457">
        <v>75000</v>
      </c>
      <c r="D457">
        <v>30</v>
      </c>
    </row>
    <row r="458" spans="1:4" x14ac:dyDescent="0.25">
      <c r="A458" t="str">
        <f>T("   841829")</f>
        <v xml:space="preserve">   841829</v>
      </c>
      <c r="B458" t="str">
        <f>T("   Réfrigérateurs ménagers à absorption, non-électriques")</f>
        <v xml:space="preserve">   Réfrigérateurs ménagers à absorption, non-électriques</v>
      </c>
      <c r="C458">
        <v>50000</v>
      </c>
      <c r="D458">
        <v>75</v>
      </c>
    </row>
    <row r="459" spans="1:4" x14ac:dyDescent="0.25">
      <c r="A459" t="str">
        <f>T("   841869")</f>
        <v xml:space="preserve">   841869</v>
      </c>
      <c r="B459" t="str">
        <f>T("   Matériel, machines et appareils pour la production du froid ainsi que pompes à chaleur à absorption (autres que réfrigérateurs et meubles congélateurs-conservateurs)")</f>
        <v xml:space="preserve">   Matériel, machines et appareils pour la production du froid ainsi que pompes à chaleur à absorption (autres que réfrigérateurs et meubles congélateurs-conservateurs)</v>
      </c>
      <c r="C459">
        <v>42973252</v>
      </c>
      <c r="D459">
        <v>31262</v>
      </c>
    </row>
    <row r="460" spans="1:4" x14ac:dyDescent="0.25">
      <c r="A460" t="str">
        <f>T("   843120")</f>
        <v xml:space="preserve">   843120</v>
      </c>
      <c r="B460" t="str">
        <f>T("   Parties de chariots-gerbeurs et autres chariots de manutention munis d'un dispositif de levage, n.d.a.")</f>
        <v xml:space="preserve">   Parties de chariots-gerbeurs et autres chariots de manutention munis d'un dispositif de levage, n.d.a.</v>
      </c>
      <c r="C460">
        <v>1036417</v>
      </c>
      <c r="D460">
        <v>0.5</v>
      </c>
    </row>
    <row r="461" spans="1:4" x14ac:dyDescent="0.25">
      <c r="A461" t="str">
        <f>T("   843141")</f>
        <v xml:space="preserve">   843141</v>
      </c>
      <c r="B461" t="str">
        <f>T("   Godets, bennes, bennes-preneuses, pelles, grappins et pinces pour machines et appareils du n° 8426, 8429 ou 8430")</f>
        <v xml:space="preserve">   Godets, bennes, bennes-preneuses, pelles, grappins et pinces pour machines et appareils du n° 8426, 8429 ou 8430</v>
      </c>
      <c r="C461">
        <v>16399000</v>
      </c>
      <c r="D461">
        <v>5070</v>
      </c>
    </row>
    <row r="462" spans="1:4" x14ac:dyDescent="0.25">
      <c r="A462" t="str">
        <f>T("   843149")</f>
        <v xml:space="preserve">   843149</v>
      </c>
      <c r="B462" t="str">
        <f>T("   Parties de machines et appareils du n° 8426, 8429 ou 8430, n.d.a.")</f>
        <v xml:space="preserve">   Parties de machines et appareils du n° 8426, 8429 ou 8430, n.d.a.</v>
      </c>
      <c r="C462">
        <v>539855</v>
      </c>
      <c r="D462">
        <v>7</v>
      </c>
    </row>
    <row r="463" spans="1:4" x14ac:dyDescent="0.25">
      <c r="A463" t="str">
        <f>T("   845011")</f>
        <v xml:space="preserve">   845011</v>
      </c>
      <c r="B463" t="str">
        <f>T("   Machines à laver le linge entièrement automatiques, d'une capacité unitaire exprimée en poids de linge sec &lt;= 6 kg")</f>
        <v xml:space="preserve">   Machines à laver le linge entièrement automatiques, d'une capacité unitaire exprimée en poids de linge sec &lt;= 6 kg</v>
      </c>
      <c r="C463">
        <v>50000</v>
      </c>
      <c r="D463">
        <v>100</v>
      </c>
    </row>
    <row r="464" spans="1:4" x14ac:dyDescent="0.25">
      <c r="A464" t="str">
        <f>T("   847190")</f>
        <v xml:space="preserve">   847190</v>
      </c>
      <c r="B464"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464">
        <v>1919995</v>
      </c>
      <c r="D464">
        <v>1232</v>
      </c>
    </row>
    <row r="465" spans="1:4" x14ac:dyDescent="0.25">
      <c r="A465" t="str">
        <f>T("   847710")</f>
        <v xml:space="preserve">   847710</v>
      </c>
      <c r="B465" t="str">
        <f>T("   Machines à mouler par injection pour le travail du caoutchouc ou des matières plastiques ou pour la fabrication de produits en ces matières")</f>
        <v xml:space="preserve">   Machines à mouler par injection pour le travail du caoutchouc ou des matières plastiques ou pour la fabrication de produits en ces matières</v>
      </c>
      <c r="C465">
        <v>14431195</v>
      </c>
      <c r="D465">
        <v>56</v>
      </c>
    </row>
    <row r="466" spans="1:4" x14ac:dyDescent="0.25">
      <c r="A466" t="str">
        <f>T("   850239")</f>
        <v xml:space="preserve">   850239</v>
      </c>
      <c r="B466" t="str">
        <f>T("   Groupes électrogènes (autres qu'à énergie éolienne et à moteurs à piston)")</f>
        <v xml:space="preserve">   Groupes électrogènes (autres qu'à énergie éolienne et à moteurs à piston)</v>
      </c>
      <c r="C466">
        <v>50000</v>
      </c>
      <c r="D466">
        <v>500</v>
      </c>
    </row>
    <row r="467" spans="1:4" x14ac:dyDescent="0.25">
      <c r="A467" t="str">
        <f>T("   852821")</f>
        <v xml:space="preserve">   852821</v>
      </c>
      <c r="B467" t="str">
        <f>T("   Moniteurs vidéo en couleurs")</f>
        <v xml:space="preserve">   Moniteurs vidéo en couleurs</v>
      </c>
      <c r="C467">
        <v>655960</v>
      </c>
      <c r="D467">
        <v>10000</v>
      </c>
    </row>
    <row r="468" spans="1:4" x14ac:dyDescent="0.25">
      <c r="A468" t="str">
        <f>T("   870210")</f>
        <v xml:space="preserve">   870210</v>
      </c>
      <c r="B468" t="s">
        <v>472</v>
      </c>
      <c r="C468">
        <v>1274530</v>
      </c>
      <c r="D468">
        <v>2500</v>
      </c>
    </row>
    <row r="469" spans="1:4" x14ac:dyDescent="0.25">
      <c r="A469" t="str">
        <f>T("   870421")</f>
        <v xml:space="preserve">   870421</v>
      </c>
      <c r="B469" t="s">
        <v>481</v>
      </c>
      <c r="C469">
        <v>1200407</v>
      </c>
      <c r="D469">
        <v>1300</v>
      </c>
    </row>
    <row r="470" spans="1:4" x14ac:dyDescent="0.25">
      <c r="A470" t="str">
        <f>T("   871120")</f>
        <v xml:space="preserve">   871120</v>
      </c>
      <c r="B470" t="str">
        <f>T("   Motocycles à moteur à piston alternatif, cylindrée &gt; 50 cm³ mais &lt;= 250 cm³")</f>
        <v xml:space="preserve">   Motocycles à moteur à piston alternatif, cylindrée &gt; 50 cm³ mais &lt;= 250 cm³</v>
      </c>
      <c r="C470">
        <v>35000</v>
      </c>
      <c r="D470">
        <v>40</v>
      </c>
    </row>
    <row r="471" spans="1:4" x14ac:dyDescent="0.25">
      <c r="A471" t="str">
        <f>T("   871200")</f>
        <v xml:space="preserve">   871200</v>
      </c>
      <c r="B471" t="str">
        <f>T("   BICYCLETTES ET AUTRES CYCLES, -Y.C. LES TRIPORTEURS-, SANS MOTEUR")</f>
        <v xml:space="preserve">   BICYCLETTES ET AUTRES CYCLES, -Y.C. LES TRIPORTEURS-, SANS MOTEUR</v>
      </c>
      <c r="C471">
        <v>524768</v>
      </c>
      <c r="D471">
        <v>4700</v>
      </c>
    </row>
    <row r="472" spans="1:4" x14ac:dyDescent="0.25">
      <c r="A472" t="str">
        <f>T("   902620")</f>
        <v xml:space="preserve">   902620</v>
      </c>
      <c r="B472" t="str">
        <f>T("   Instruments et appareils pour la mesure ou le contrôle de la pression des liquides ou des gaz (à l'excl. des instruments et appareils pour la régulation ou le contrôle automatiques)")</f>
        <v xml:space="preserve">   Instruments et appareils pour la mesure ou le contrôle de la pression des liquides ou des gaz (à l'excl. des instruments et appareils pour la régulation ou le contrôle automatiques)</v>
      </c>
      <c r="C472">
        <v>172517</v>
      </c>
      <c r="D472">
        <v>0.4</v>
      </c>
    </row>
    <row r="473" spans="1:4" x14ac:dyDescent="0.25">
      <c r="A473" t="str">
        <f>T("   940330")</f>
        <v xml:space="preserve">   940330</v>
      </c>
      <c r="B473" t="str">
        <f>T("   Meubles de bureau en bois (sauf sièges)")</f>
        <v xml:space="preserve">   Meubles de bureau en bois (sauf sièges)</v>
      </c>
      <c r="C473">
        <v>3073829</v>
      </c>
      <c r="D473">
        <v>8625</v>
      </c>
    </row>
    <row r="474" spans="1:4" x14ac:dyDescent="0.25">
      <c r="A474" t="str">
        <f>T("   950310")</f>
        <v xml:space="preserve">   950310</v>
      </c>
      <c r="B474" t="str">
        <f>T("   Modèles réduits de trains électriques, y.c. les rails, les signaux et autres accessoires")</f>
        <v xml:space="preserve">   Modèles réduits de trains électriques, y.c. les rails, les signaux et autres accessoires</v>
      </c>
      <c r="C474">
        <v>209956</v>
      </c>
      <c r="D474">
        <v>1600</v>
      </c>
    </row>
    <row r="475" spans="1:4" x14ac:dyDescent="0.25">
      <c r="A475" t="str">
        <f>T("   950430")</f>
        <v xml:space="preserve">   950430</v>
      </c>
      <c r="B475" t="s">
        <v>509</v>
      </c>
      <c r="C475">
        <v>302398</v>
      </c>
      <c r="D475">
        <v>3</v>
      </c>
    </row>
    <row r="476" spans="1:4" x14ac:dyDescent="0.25">
      <c r="A476" t="str">
        <f>T("BA")</f>
        <v>BA</v>
      </c>
      <c r="B476" t="str">
        <f>T("Bosnie Herzégovine")</f>
        <v>Bosnie Herzégovine</v>
      </c>
    </row>
    <row r="477" spans="1:4" x14ac:dyDescent="0.25">
      <c r="A477" t="str">
        <f>T("   ZZ_Total_Produit_SH6")</f>
        <v xml:space="preserve">   ZZ_Total_Produit_SH6</v>
      </c>
      <c r="B477" t="str">
        <f>T("   ZZ_Total_Produit_SH6")</f>
        <v xml:space="preserve">   ZZ_Total_Produit_SH6</v>
      </c>
      <c r="C477">
        <v>7207299</v>
      </c>
      <c r="D477">
        <v>677</v>
      </c>
    </row>
    <row r="478" spans="1:4" x14ac:dyDescent="0.25">
      <c r="A478" t="str">
        <f>T("   620590")</f>
        <v xml:space="preserve">   620590</v>
      </c>
      <c r="B478"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478">
        <v>3500000</v>
      </c>
      <c r="D478">
        <v>632</v>
      </c>
    </row>
    <row r="479" spans="1:4" x14ac:dyDescent="0.25">
      <c r="A479" t="str">
        <f>T("   847190")</f>
        <v xml:space="preserve">   847190</v>
      </c>
      <c r="B479"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479">
        <v>561624</v>
      </c>
      <c r="D479">
        <v>10</v>
      </c>
    </row>
    <row r="480" spans="1:4" x14ac:dyDescent="0.25">
      <c r="A480" t="str">
        <f>T("   851220")</f>
        <v xml:space="preserve">   851220</v>
      </c>
      <c r="B480" t="str">
        <f>T("   Appareils électriques d'éclairage ou de signalisation visuelle, pour automobiles (à l'excl. des lampes du n° 8539)")</f>
        <v xml:space="preserve">   Appareils électriques d'éclairage ou de signalisation visuelle, pour automobiles (à l'excl. des lampes du n° 8539)</v>
      </c>
      <c r="C480">
        <v>2140181</v>
      </c>
      <c r="D480">
        <v>17</v>
      </c>
    </row>
    <row r="481" spans="1:4" x14ac:dyDescent="0.25">
      <c r="A481" t="str">
        <f>T("   870899")</f>
        <v xml:space="preserve">   870899</v>
      </c>
      <c r="B481"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481">
        <v>1005494</v>
      </c>
      <c r="D481">
        <v>18</v>
      </c>
    </row>
    <row r="482" spans="1:4" x14ac:dyDescent="0.25">
      <c r="A482" t="str">
        <f>T("BD")</f>
        <v>BD</v>
      </c>
      <c r="B482" t="str">
        <f>T("Bangladesh")</f>
        <v>Bangladesh</v>
      </c>
    </row>
    <row r="483" spans="1:4" x14ac:dyDescent="0.25">
      <c r="A483" t="str">
        <f>T("   ZZ_Total_Produit_SH6")</f>
        <v xml:space="preserve">   ZZ_Total_Produit_SH6</v>
      </c>
      <c r="B483" t="str">
        <f>T("   ZZ_Total_Produit_SH6")</f>
        <v xml:space="preserve">   ZZ_Total_Produit_SH6</v>
      </c>
      <c r="C483">
        <v>126536952</v>
      </c>
      <c r="D483">
        <v>409521</v>
      </c>
    </row>
    <row r="484" spans="1:4" x14ac:dyDescent="0.25">
      <c r="A484" t="str">
        <f>T("   200919")</f>
        <v xml:space="preserve">   200919</v>
      </c>
      <c r="B484" t="str">
        <f>T("   JUS D'ORANGE, NON-FERMENTÉS, SANS ADDITION D'ALCOOL, AVEC OU SANS ADDITION DE SUCRE OU D'AUTRES ÉDULCORANTS (À L'EXCL. DES JUS CONGELÉS ET DES JUS D'UNE VALEUR BRIX &lt;= 20 À 20°C)")</f>
        <v xml:space="preserve">   JUS D'ORANGE, NON-FERMENTÉS, SANS ADDITION D'ALCOOL, AVEC OU SANS ADDITION DE SUCRE OU D'AUTRES ÉDULCORANTS (À L'EXCL. DES JUS CONGELÉS ET DES JUS D'UNE VALEUR BRIX &lt;= 20 À 20°C)</v>
      </c>
      <c r="C484">
        <v>3175694</v>
      </c>
      <c r="D484">
        <v>11250</v>
      </c>
    </row>
    <row r="485" spans="1:4" x14ac:dyDescent="0.25">
      <c r="A485" t="str">
        <f>T("   200949")</f>
        <v xml:space="preserve">   200949</v>
      </c>
      <c r="B485" t="str">
        <f>T("   JUS D'ANANAS, NON-FERMENTÉS, SANS ADDITION D'ALCOOL, AVEC OU SANS ADDITION DE SUCRE OU D'AUTRES ÉDULCORANTS, D'UNE VALEUR BRIX &gt; 20 À 20°C")</f>
        <v xml:space="preserve">   JUS D'ANANAS, NON-FERMENTÉS, SANS ADDITION D'ALCOOL, AVEC OU SANS ADDITION DE SUCRE OU D'AUTRES ÉDULCORANTS, D'UNE VALEUR BRIX &gt; 20 À 20°C</v>
      </c>
      <c r="C485">
        <v>773670</v>
      </c>
      <c r="D485">
        <v>2925</v>
      </c>
    </row>
    <row r="486" spans="1:4" x14ac:dyDescent="0.25">
      <c r="A486" t="str">
        <f>T("   200980")</f>
        <v xml:space="preserve">   200980</v>
      </c>
      <c r="B486" t="str">
        <f>T("   JUS DE FRUITS OU DE LÉGUMES, NON-FERMENTÉS, SANS ADDITION D'ALCOOL, AVEC OU SANS ADDITION DE SUCRE OU D'AUTRES ÉDULCORANTS (À L'EXCL. DES MÉLANGES AINSI QUE DES JUS D'AGRUMES, D'ANANAS, DE TOMATE, DE RAISIN - Y.C. LES MOÛTS - ET DE POMME)")</f>
        <v xml:space="preserve">   JUS DE FRUITS OU DE LÉGUMES, NON-FERMENTÉS, SANS ADDITION D'ALCOOL, AVEC OU SANS ADDITION DE SUCRE OU D'AUTRES ÉDULCORANTS (À L'EXCL. DES MÉLANGES AINSI QUE DES JUS D'AGRUMES, D'ANANAS, DE TOMATE, DE RAISIN - Y.C. LES MOÛTS - ET DE POMME)</v>
      </c>
      <c r="C486">
        <v>3986275</v>
      </c>
      <c r="D486">
        <v>14425</v>
      </c>
    </row>
    <row r="487" spans="1:4" x14ac:dyDescent="0.25">
      <c r="A487" t="str">
        <f>T("   200990")</f>
        <v xml:space="preserve">   200990</v>
      </c>
      <c r="B487" t="str">
        <f>T("   MÉLANGES DE JUS DE FRUITS - Y.C. LES MOÛTS DE RAISIN - ET DE JUS DE LÉGUMES, NON-FERMENTÉS, SANS ADDITION D'ALCOOL, AVEC OU SANS ADDITION DE SUCRE OU D'AUTRES ÉDULCORANTS")</f>
        <v xml:space="preserve">   MÉLANGES DE JUS DE FRUITS - Y.C. LES MOÛTS DE RAISIN - ET DE JUS DE LÉGUMES, NON-FERMENTÉS, SANS ADDITION D'ALCOOL, AVEC OU SANS ADDITION DE SUCRE OU D'AUTRES ÉDULCORANTS</v>
      </c>
      <c r="C487">
        <v>13204703</v>
      </c>
      <c r="D487">
        <v>56485</v>
      </c>
    </row>
    <row r="488" spans="1:4" x14ac:dyDescent="0.25">
      <c r="A488" t="str">
        <f>T("   530390")</f>
        <v xml:space="preserve">   530390</v>
      </c>
      <c r="B488" t="str">
        <f>T("   Jute et autres fibres textiles libériennes, travaillés mais non filés (à l'excl. des produits rouis ainsi que du lin, du chanvre et de la ramie); étoupes et déchets de ces fibres, y.c. les déchets de fils et les effilochés")</f>
        <v xml:space="preserve">   Jute et autres fibres textiles libériennes, travaillés mais non filés (à l'excl. des produits rouis ainsi que du lin, du chanvre et de la ramie); étoupes et déchets de ces fibres, y.c. les déchets de fils et les effilochés</v>
      </c>
      <c r="C488">
        <v>21435286</v>
      </c>
      <c r="D488">
        <v>38649</v>
      </c>
    </row>
    <row r="489" spans="1:4" x14ac:dyDescent="0.25">
      <c r="A489" t="str">
        <f>T("   610990")</f>
        <v xml:space="preserve">   610990</v>
      </c>
      <c r="B489" t="str">
        <f>T("   T-shirts et maillots de corps, en bonneterie, de matières textiles (sauf de coton)")</f>
        <v xml:space="preserve">   T-shirts et maillots de corps, en bonneterie, de matières textiles (sauf de coton)</v>
      </c>
      <c r="C489">
        <v>11504</v>
      </c>
      <c r="D489">
        <v>10</v>
      </c>
    </row>
    <row r="490" spans="1:4" x14ac:dyDescent="0.25">
      <c r="A490" t="str">
        <f>T("   630510")</f>
        <v xml:space="preserve">   630510</v>
      </c>
      <c r="B490" t="str">
        <f>T("   Sacs et sachets d'emballage de jute ou d'autres fibres textiles libériennes du n° 5303")</f>
        <v xml:space="preserve">   Sacs et sachets d'emballage de jute ou d'autres fibres textiles libériennes du n° 5303</v>
      </c>
      <c r="C490">
        <v>83924820</v>
      </c>
      <c r="D490">
        <v>285768</v>
      </c>
    </row>
    <row r="491" spans="1:4" x14ac:dyDescent="0.25">
      <c r="A491" t="str">
        <f>T("   960990")</f>
        <v xml:space="preserve">   960990</v>
      </c>
      <c r="B491" t="str">
        <f>T("   Crayons (sauf crayons à gaine), pastels, fusains, craies à écrire ou à dessiner et craies de tailleurs")</f>
        <v xml:space="preserve">   Crayons (sauf crayons à gaine), pastels, fusains, craies à écrire ou à dessiner et craies de tailleurs</v>
      </c>
      <c r="C491">
        <v>25000</v>
      </c>
      <c r="D491">
        <v>9</v>
      </c>
    </row>
    <row r="492" spans="1:4" x14ac:dyDescent="0.25">
      <c r="A492" t="str">
        <f>T("BE")</f>
        <v>BE</v>
      </c>
      <c r="B492" t="str">
        <f>T("Belgique")</f>
        <v>Belgique</v>
      </c>
    </row>
    <row r="493" spans="1:4" x14ac:dyDescent="0.25">
      <c r="A493" t="str">
        <f>T("   ZZ_Total_Produit_SH6")</f>
        <v xml:space="preserve">   ZZ_Total_Produit_SH6</v>
      </c>
      <c r="B493" t="str">
        <f>T("   ZZ_Total_Produit_SH6")</f>
        <v xml:space="preserve">   ZZ_Total_Produit_SH6</v>
      </c>
      <c r="C493">
        <v>54036133828.917999</v>
      </c>
      <c r="D493">
        <v>103465033.45</v>
      </c>
    </row>
    <row r="494" spans="1:4" x14ac:dyDescent="0.25">
      <c r="A494" t="str">
        <f>T("   010511")</f>
        <v xml:space="preserve">   010511</v>
      </c>
      <c r="B494" t="str">
        <f>T("   Coqs et poules [des espèces domestiques], vivants, d'un poids &lt;= 185 g")</f>
        <v xml:space="preserve">   Coqs et poules [des espèces domestiques], vivants, d'un poids &lt;= 185 g</v>
      </c>
      <c r="C494">
        <v>5498257</v>
      </c>
      <c r="D494">
        <v>3618.4</v>
      </c>
    </row>
    <row r="495" spans="1:4" x14ac:dyDescent="0.25">
      <c r="A495" t="str">
        <f>T("   010599")</f>
        <v xml:space="preserve">   010599</v>
      </c>
      <c r="B495" t="str">
        <f>T("   Canards, oies, dindons, dindes et pintades [des espèces domestiques], vivants, d'un poids &gt; 185 g")</f>
        <v xml:space="preserve">   Canards, oies, dindons, dindes et pintades [des espèces domestiques], vivants, d'un poids &gt; 185 g</v>
      </c>
      <c r="C495">
        <v>1154228</v>
      </c>
      <c r="D495">
        <v>2295</v>
      </c>
    </row>
    <row r="496" spans="1:4" x14ac:dyDescent="0.25">
      <c r="A496" t="str">
        <f>T("   020712")</f>
        <v xml:space="preserve">   020712</v>
      </c>
      <c r="B496" t="str">
        <f>T("   COQS ET POULES [DES ESPÈCES DOMESTIQUES], NON-DÉCOUPÉS EN MORCEAUX, CONGELÉS")</f>
        <v xml:space="preserve">   COQS ET POULES [DES ESPÈCES DOMESTIQUES], NON-DÉCOUPÉS EN MORCEAUX, CONGELÉS</v>
      </c>
      <c r="C496">
        <v>559885381</v>
      </c>
      <c r="D496">
        <v>895930</v>
      </c>
    </row>
    <row r="497" spans="1:4" x14ac:dyDescent="0.25">
      <c r="A497" t="str">
        <f>T("   020714")</f>
        <v xml:space="preserve">   020714</v>
      </c>
      <c r="B497" t="str">
        <f>T("   Morceaux et abats comestibles de coqs et de poules [des espèces domestiques], congelés")</f>
        <v xml:space="preserve">   Morceaux et abats comestibles de coqs et de poules [des espèces domestiques], congelés</v>
      </c>
      <c r="C497">
        <v>2520416528</v>
      </c>
      <c r="D497">
        <v>4070010</v>
      </c>
    </row>
    <row r="498" spans="1:4" x14ac:dyDescent="0.25">
      <c r="A498" t="str">
        <f>T("   020726")</f>
        <v xml:space="preserve">   020726</v>
      </c>
      <c r="B498" t="str">
        <f>T("   Morceaux et abats comestibles de dindes et dindons [des espèces domestiques], frais ou réfrigérés")</f>
        <v xml:space="preserve">   Morceaux et abats comestibles de dindes et dindons [des espèces domestiques], frais ou réfrigérés</v>
      </c>
      <c r="C498">
        <v>16395920</v>
      </c>
      <c r="D498">
        <v>26900</v>
      </c>
    </row>
    <row r="499" spans="1:4" x14ac:dyDescent="0.25">
      <c r="A499" t="str">
        <f>T("   020727")</f>
        <v xml:space="preserve">   020727</v>
      </c>
      <c r="B499" t="str">
        <f>T("   Morceaux et abats comestibles de dindes et dindons [des espèces domestiques], congelés")</f>
        <v xml:space="preserve">   Morceaux et abats comestibles de dindes et dindons [des espèces domestiques], congelés</v>
      </c>
      <c r="C499">
        <v>2352070239</v>
      </c>
      <c r="D499">
        <v>3781512</v>
      </c>
    </row>
    <row r="500" spans="1:4" x14ac:dyDescent="0.25">
      <c r="A500" t="str">
        <f>T("   030329")</f>
        <v xml:space="preserve">   030329</v>
      </c>
      <c r="B500" t="str">
        <f>T("   Salmonidés, congelés (à l'excl. des saumons du Pacifique, de l'Atlantique et du Danube ainsi que des truites)")</f>
        <v xml:space="preserve">   Salmonidés, congelés (à l'excl. des saumons du Pacifique, de l'Atlantique et du Danube ainsi que des truites)</v>
      </c>
      <c r="C500">
        <v>1955416</v>
      </c>
      <c r="D500">
        <v>8688</v>
      </c>
    </row>
    <row r="501" spans="1:4" x14ac:dyDescent="0.25">
      <c r="A501" t="str">
        <f>T("   030349")</f>
        <v xml:space="preserve">   030349</v>
      </c>
      <c r="B501" t="str">
        <f>T("   Thons du genre 'Thunnus', congelés (à l'excl. des thons des espèces 'Thunnus alalunga, Thunnus albacares, Thunnus obesus, Thunnus thynnus et Thunnus maccoyii')")</f>
        <v xml:space="preserve">   Thons du genre 'Thunnus', congelés (à l'excl. des thons des espèces 'Thunnus alalunga, Thunnus albacares, Thunnus obesus, Thunnus thynnus et Thunnus maccoyii')</v>
      </c>
      <c r="C501">
        <v>1451640</v>
      </c>
      <c r="D501">
        <v>6450</v>
      </c>
    </row>
    <row r="502" spans="1:4" x14ac:dyDescent="0.25">
      <c r="A502" t="str">
        <f>T("   030371")</f>
        <v xml:space="preserve">   030371</v>
      </c>
      <c r="B502" t="str">
        <f>T("   Sardines [Sardina pilchardus, Sardinops spp.], sardinelles [Sardinella spp.], sprats ou esprots [Sprattus sprattus], congelés")</f>
        <v xml:space="preserve">   Sardines [Sardina pilchardus, Sardinops spp.], sardinelles [Sardinella spp.], sprats ou esprots [Sprattus sprattus], congelés</v>
      </c>
      <c r="C502">
        <v>15660389</v>
      </c>
      <c r="D502">
        <v>69600</v>
      </c>
    </row>
    <row r="503" spans="1:4" x14ac:dyDescent="0.25">
      <c r="A503" t="str">
        <f>T("   030374")</f>
        <v xml:space="preserve">   030374</v>
      </c>
      <c r="B503" t="str">
        <f>T("   Maquereaux [Scomber scombrus, Scomber australasicus, Scomber japonicus], congelés")</f>
        <v xml:space="preserve">   Maquereaux [Scomber scombrus, Scomber australasicus, Scomber japonicus], congelés</v>
      </c>
      <c r="C503">
        <v>13608546</v>
      </c>
      <c r="D503">
        <v>60480</v>
      </c>
    </row>
    <row r="504" spans="1:4" x14ac:dyDescent="0.25">
      <c r="A504" t="str">
        <f>T("   030378")</f>
        <v xml:space="preserve">   030378</v>
      </c>
      <c r="B504" t="str">
        <f>T("   Merlus [Merluccius spp., Urophycis spp.], congelés")</f>
        <v xml:space="preserve">   Merlus [Merluccius spp., Urophycis spp.], congelés</v>
      </c>
      <c r="C504">
        <v>1809138</v>
      </c>
      <c r="D504">
        <v>8040</v>
      </c>
    </row>
    <row r="505" spans="1:4" x14ac:dyDescent="0.25">
      <c r="A505" t="str">
        <f>T("   030379")</f>
        <v xml:space="preserve">   030379</v>
      </c>
      <c r="B505" t="s">
        <v>15</v>
      </c>
      <c r="C505">
        <v>582384093</v>
      </c>
      <c r="D505">
        <v>2588370</v>
      </c>
    </row>
    <row r="506" spans="1:4" x14ac:dyDescent="0.25">
      <c r="A506" t="str">
        <f>T("   040110")</f>
        <v xml:space="preserve">   040110</v>
      </c>
      <c r="B506" t="str">
        <f>T("   LAIT ET CRÈME DE LAIT, NON-CONCENTRÉS NI ADDITIONNÉS DE SUCRE OU D'AUTRES ÉDULCORANTS, D'UNE TENEUR EN POIDS DE MATIÈRES GRASSES &lt;= 1%")</f>
        <v xml:space="preserve">   LAIT ET CRÈME DE LAIT, NON-CONCENTRÉS NI ADDITIONNÉS DE SUCRE OU D'AUTRES ÉDULCORANTS, D'UNE TENEUR EN POIDS DE MATIÈRES GRASSES &lt;= 1%</v>
      </c>
      <c r="C506">
        <v>873739</v>
      </c>
      <c r="D506">
        <v>2569</v>
      </c>
    </row>
    <row r="507" spans="1:4" x14ac:dyDescent="0.25">
      <c r="A507" t="str">
        <f>T("   040120")</f>
        <v xml:space="preserve">   040120</v>
      </c>
      <c r="B507" t="str">
        <f>T("   LAIT ET CRÈME DE LAIT, NON-CONCENTRÉS NI ADDITIONNÉS DE SUCRE OU D'AUTRES ÉDULCORANTS, D'UNE TENEUR EN POIDS DE MATIÈRES GRASSES &gt; 1% MAIS &lt;= 6%")</f>
        <v xml:space="preserve">   LAIT ET CRÈME DE LAIT, NON-CONCENTRÉS NI ADDITIONNÉS DE SUCRE OU D'AUTRES ÉDULCORANTS, D'UNE TENEUR EN POIDS DE MATIÈRES GRASSES &gt; 1% MAIS &lt;= 6%</v>
      </c>
      <c r="C507">
        <v>17752902</v>
      </c>
      <c r="D507">
        <v>34219</v>
      </c>
    </row>
    <row r="508" spans="1:4" x14ac:dyDescent="0.25">
      <c r="A508" t="str">
        <f>T("   040210")</f>
        <v xml:space="preserve">   040210</v>
      </c>
      <c r="B508" t="str">
        <f>T("   Lait et crème de lait, en poudre, en granulés ou sous d'autres formes solides, d'une teneur en poids de matières grasses &lt;= 1,5%")</f>
        <v xml:space="preserve">   Lait et crème de lait, en poudre, en granulés ou sous d'autres formes solides, d'une teneur en poids de matières grasses &lt;= 1,5%</v>
      </c>
      <c r="C508">
        <v>212056739</v>
      </c>
      <c r="D508">
        <v>105743</v>
      </c>
    </row>
    <row r="509" spans="1:4" x14ac:dyDescent="0.25">
      <c r="A509" t="str">
        <f>T("   040221")</f>
        <v xml:space="preserve">   040221</v>
      </c>
      <c r="B509" t="str">
        <f>T("   Lait et crème de lait, en poudre, en granulés ou sous d'autres formes solides, d'une teneur en poids de matières grasses &gt; 1,5%, sans addition de sucre ou d'autres édulcorants")</f>
        <v xml:space="preserve">   Lait et crème de lait, en poudre, en granulés ou sous d'autres formes solides, d'une teneur en poids de matières grasses &gt; 1,5%, sans addition de sucre ou d'autres édulcorants</v>
      </c>
      <c r="C509">
        <v>777202092</v>
      </c>
      <c r="D509">
        <v>348508</v>
      </c>
    </row>
    <row r="510" spans="1:4" x14ac:dyDescent="0.25">
      <c r="A510" t="str">
        <f>T("   040229")</f>
        <v xml:space="preserve">   040229</v>
      </c>
      <c r="B510" t="str">
        <f>T("   Lait et crème de lait, en poudre, en granulés ou sous d'autres formes solides, d'une teneur en poids de matières grasses &gt; 1,5%, avec addition de sucre ou d'autres édulcorants")</f>
        <v xml:space="preserve">   Lait et crème de lait, en poudre, en granulés ou sous d'autres formes solides, d'une teneur en poids de matières grasses &gt; 1,5%, avec addition de sucre ou d'autres édulcorants</v>
      </c>
      <c r="C510">
        <v>104999517</v>
      </c>
      <c r="D510">
        <v>42932</v>
      </c>
    </row>
    <row r="511" spans="1:4" x14ac:dyDescent="0.25">
      <c r="A511" t="str">
        <f>T("   040291")</f>
        <v xml:space="preserve">   040291</v>
      </c>
      <c r="B511" t="str">
        <f>T("   Lait et crème de lait, concentrés, sans addition de sucre ou d'autres édulcorants (à l'excl. des laits et crèmes de lait en poudre, en granulés ou sous d'autres formes solides)")</f>
        <v xml:space="preserve">   Lait et crème de lait, concentrés, sans addition de sucre ou d'autres édulcorants (à l'excl. des laits et crèmes de lait en poudre, en granulés ou sous d'autres formes solides)</v>
      </c>
      <c r="C511">
        <v>7487783</v>
      </c>
      <c r="D511">
        <v>9047</v>
      </c>
    </row>
    <row r="512" spans="1:4" x14ac:dyDescent="0.25">
      <c r="A512" t="str">
        <f>T("   050400")</f>
        <v xml:space="preserve">   050400</v>
      </c>
      <c r="B512" t="str">
        <f>T("   Boyaux, vessies et estomacs d'animaux (autres que ceux de poissons), entiers ou en morceaux, à l'état frais, réfrigéré, congelé, salé ou en saumure, séché ou fumé")</f>
        <v xml:space="preserve">   Boyaux, vessies et estomacs d'animaux (autres que ceux de poissons), entiers ou en morceaux, à l'état frais, réfrigéré, congelé, salé ou en saumure, séché ou fumé</v>
      </c>
      <c r="C512">
        <v>376878980</v>
      </c>
      <c r="D512">
        <v>327850</v>
      </c>
    </row>
    <row r="513" spans="1:4" x14ac:dyDescent="0.25">
      <c r="A513" t="str">
        <f>T("   070190")</f>
        <v xml:space="preserve">   070190</v>
      </c>
      <c r="B513" t="str">
        <f>T("   Pommes de terre, à l'état frais ou réfrigéré (à l'excl. des pommes de terre de semence)")</f>
        <v xml:space="preserve">   Pommes de terre, à l'état frais ou réfrigéré (à l'excl. des pommes de terre de semence)</v>
      </c>
      <c r="C513">
        <v>26208560</v>
      </c>
      <c r="D513">
        <v>143335</v>
      </c>
    </row>
    <row r="514" spans="1:4" x14ac:dyDescent="0.25">
      <c r="A514" t="str">
        <f>T("   071010")</f>
        <v xml:space="preserve">   071010</v>
      </c>
      <c r="B514" t="str">
        <f>T("   Pommes de terre, non cuites ou cuites à l'eau ou à la vapeur, congelées")</f>
        <v xml:space="preserve">   Pommes de terre, non cuites ou cuites à l'eau ou à la vapeur, congelées</v>
      </c>
      <c r="C514">
        <v>19014967</v>
      </c>
      <c r="D514">
        <v>95040</v>
      </c>
    </row>
    <row r="515" spans="1:4" x14ac:dyDescent="0.25">
      <c r="A515" t="str">
        <f>T("   080810")</f>
        <v xml:space="preserve">   080810</v>
      </c>
      <c r="B515" t="str">
        <f>T("   Pommes, fraîches")</f>
        <v xml:space="preserve">   Pommes, fraîches</v>
      </c>
      <c r="C515">
        <v>9586199</v>
      </c>
      <c r="D515">
        <v>21168</v>
      </c>
    </row>
    <row r="516" spans="1:4" x14ac:dyDescent="0.25">
      <c r="A516" t="str">
        <f>T("   090111")</f>
        <v xml:space="preserve">   090111</v>
      </c>
      <c r="B516" t="str">
        <f>T("   Café, non torréfié, non décaféiné")</f>
        <v xml:space="preserve">   Café, non torréfié, non décaféiné</v>
      </c>
      <c r="C516">
        <v>150956</v>
      </c>
      <c r="D516">
        <v>33</v>
      </c>
    </row>
    <row r="517" spans="1:4" x14ac:dyDescent="0.25">
      <c r="A517" t="str">
        <f>T("   091099")</f>
        <v xml:space="preserve">   091099</v>
      </c>
      <c r="B517" t="s">
        <v>26</v>
      </c>
      <c r="C517">
        <v>1459511</v>
      </c>
      <c r="D517">
        <v>1728</v>
      </c>
    </row>
    <row r="518" spans="1:4" x14ac:dyDescent="0.25">
      <c r="A518" t="str">
        <f>T("   110520")</f>
        <v xml:space="preserve">   110520</v>
      </c>
      <c r="B518" t="str">
        <f>T("   Flocons, granulés et agglomérés sous forme de pellets, de pommes de terre")</f>
        <v xml:space="preserve">   Flocons, granulés et agglomérés sous forme de pellets, de pommes de terre</v>
      </c>
      <c r="C518">
        <v>843565</v>
      </c>
      <c r="D518">
        <v>1300</v>
      </c>
    </row>
    <row r="519" spans="1:4" x14ac:dyDescent="0.25">
      <c r="A519" t="str">
        <f>T("   110710")</f>
        <v xml:space="preserve">   110710</v>
      </c>
      <c r="B519" t="str">
        <f>T("   MALT, NON-TORRÉFIÉ")</f>
        <v xml:space="preserve">   MALT, NON-TORRÉFIÉ</v>
      </c>
      <c r="C519">
        <v>2706917097</v>
      </c>
      <c r="D519">
        <v>6139515</v>
      </c>
    </row>
    <row r="520" spans="1:4" x14ac:dyDescent="0.25">
      <c r="A520" t="str">
        <f>T("   150990")</f>
        <v xml:space="preserve">   150990</v>
      </c>
      <c r="B520" t="str">
        <f>T("   Huile d'olive et ses fractions, traitées mais non chimiquement modifiées, obtenues, à partir des fruits de l'olivier, uniquement par des procédés mécaniques ou physiques, dans des conditions n'altérant pas l'huile")</f>
        <v xml:space="preserve">   Huile d'olive et ses fractions, traitées mais non chimiquement modifiées, obtenues, à partir des fruits de l'olivier, uniquement par des procédés mécaniques ou physiques, dans des conditions n'altérant pas l'huile</v>
      </c>
      <c r="C520">
        <v>86586</v>
      </c>
      <c r="D520">
        <v>102</v>
      </c>
    </row>
    <row r="521" spans="1:4" x14ac:dyDescent="0.25">
      <c r="A521" t="str">
        <f>T("   151211")</f>
        <v xml:space="preserve">   151211</v>
      </c>
      <c r="B521" t="str">
        <f>T("   Huiles de tournesol ou de carthame, brutes")</f>
        <v xml:space="preserve">   Huiles de tournesol ou de carthame, brutes</v>
      </c>
      <c r="C521">
        <v>738000</v>
      </c>
      <c r="D521">
        <v>2952</v>
      </c>
    </row>
    <row r="522" spans="1:4" x14ac:dyDescent="0.25">
      <c r="A522" t="str">
        <f>T("   151511")</f>
        <v xml:space="preserve">   151511</v>
      </c>
      <c r="B522" t="str">
        <f>T("   Huile de lin, brute")</f>
        <v xml:space="preserve">   Huile de lin, brute</v>
      </c>
      <c r="C522">
        <v>492500</v>
      </c>
      <c r="D522">
        <v>1970</v>
      </c>
    </row>
    <row r="523" spans="1:4" x14ac:dyDescent="0.25">
      <c r="A523" t="str">
        <f>T("   151519")</f>
        <v xml:space="preserve">   151519</v>
      </c>
      <c r="B523" t="str">
        <f>T("   Huile de lin et ses fractions, même raffinées, mais non chimiquement modifiées (à l'excl. de l'huile brute)")</f>
        <v xml:space="preserve">   Huile de lin et ses fractions, même raffinées, mais non chimiquement modifiées (à l'excl. de l'huile brute)</v>
      </c>
      <c r="C523">
        <v>48500</v>
      </c>
      <c r="D523">
        <v>194</v>
      </c>
    </row>
    <row r="524" spans="1:4" x14ac:dyDescent="0.25">
      <c r="A524" t="str">
        <f>T("   151620")</f>
        <v xml:space="preserve">   151620</v>
      </c>
      <c r="B524" t="str">
        <f>T("   Graisses et huiles végétales et leurs fractions, partiellement ou totalement hydrogénées, interestérifiées, réestérifiées ou élaïdinisées, même raffinées, mais non autrement préparées")</f>
        <v xml:space="preserve">   Graisses et huiles végétales et leurs fractions, partiellement ou totalement hydrogénées, interestérifiées, réestérifiées ou élaïdinisées, même raffinées, mais non autrement préparées</v>
      </c>
      <c r="C524">
        <v>44000000</v>
      </c>
      <c r="D524">
        <v>163160</v>
      </c>
    </row>
    <row r="525" spans="1:4" x14ac:dyDescent="0.25">
      <c r="A525" t="str">
        <f>T("   160100")</f>
        <v xml:space="preserve">   160100</v>
      </c>
      <c r="B525" t="str">
        <f>T("   Saucisses, saucissons et produits simil., de viande, d'abats ou de sang; préparations alimentaires à base de ces produits")</f>
        <v xml:space="preserve">   Saucisses, saucissons et produits simil., de viande, d'abats ou de sang; préparations alimentaires à base de ces produits</v>
      </c>
      <c r="C525">
        <v>9490428</v>
      </c>
      <c r="D525">
        <v>12760</v>
      </c>
    </row>
    <row r="526" spans="1:4" x14ac:dyDescent="0.25">
      <c r="A526" t="str">
        <f>T("   160249")</f>
        <v xml:space="preserve">   160249</v>
      </c>
      <c r="B526" t="s">
        <v>40</v>
      </c>
      <c r="C526">
        <v>2312915</v>
      </c>
      <c r="D526">
        <v>3830</v>
      </c>
    </row>
    <row r="527" spans="1:4" x14ac:dyDescent="0.25">
      <c r="A527" t="str">
        <f>T("   160413")</f>
        <v xml:space="preserve">   160413</v>
      </c>
      <c r="B527" t="str">
        <f>T("   Préparations et conserves de sardines, sardinelles, sprats ou esprots, entiers ou en morceaux (à l'excl. des préparations et conserves de poissons hachés)")</f>
        <v xml:space="preserve">   Préparations et conserves de sardines, sardinelles, sprats ou esprots, entiers ou en morceaux (à l'excl. des préparations et conserves de poissons hachés)</v>
      </c>
      <c r="C527">
        <v>33306369</v>
      </c>
      <c r="D527">
        <v>27625</v>
      </c>
    </row>
    <row r="528" spans="1:4" x14ac:dyDescent="0.25">
      <c r="A528" t="str">
        <f>T("   160420")</f>
        <v xml:space="preserve">   160420</v>
      </c>
      <c r="B528" t="str">
        <f>T("   Préparations et conserves de poissons (à l'excl. des préparations et conserves de poissons entiers ou en morceaux)")</f>
        <v xml:space="preserve">   Préparations et conserves de poissons (à l'excl. des préparations et conserves de poissons entiers ou en morceaux)</v>
      </c>
      <c r="C528">
        <v>1339471</v>
      </c>
      <c r="D528">
        <v>2151</v>
      </c>
    </row>
    <row r="529" spans="1:4" x14ac:dyDescent="0.25">
      <c r="A529" t="str">
        <f>T("   170111")</f>
        <v xml:space="preserve">   170111</v>
      </c>
      <c r="B529" t="str">
        <f>T("   Sucres de canne, bruts, sans addition d'aromatisants ou de colorants")</f>
        <v xml:space="preserve">   Sucres de canne, bruts, sans addition d'aromatisants ou de colorants</v>
      </c>
      <c r="C529">
        <v>132165000</v>
      </c>
      <c r="D529">
        <v>258071</v>
      </c>
    </row>
    <row r="530" spans="1:4" x14ac:dyDescent="0.25">
      <c r="A530" t="str">
        <f>T("   170191")</f>
        <v xml:space="preserve">   170191</v>
      </c>
      <c r="B530" t="str">
        <f>T("   Sucres de canne ou de betterave, à l'état solide, additionnés d'aromatisants ou de colorants")</f>
        <v xml:space="preserve">   Sucres de canne ou de betterave, à l'état solide, additionnés d'aromatisants ou de colorants</v>
      </c>
      <c r="C530">
        <v>425229190</v>
      </c>
      <c r="D530">
        <v>1046787</v>
      </c>
    </row>
    <row r="531" spans="1:4" x14ac:dyDescent="0.25">
      <c r="A531" t="str">
        <f>T("   170199")</f>
        <v xml:space="preserve">   170199</v>
      </c>
      <c r="B531" t="str">
        <f>T("   Sucres de canne ou de betterave et saccharose chimiquement pur, à l'état solide (à l'excl. des sucres bruts et des sucres de canne ou de betterave additionnés d'aromatisants ou de colorants)")</f>
        <v xml:space="preserve">   Sucres de canne ou de betterave et saccharose chimiquement pur, à l'état solide (à l'excl. des sucres bruts et des sucres de canne ou de betterave additionnés d'aromatisants ou de colorants)</v>
      </c>
      <c r="C531">
        <v>183502896.91800001</v>
      </c>
      <c r="D531">
        <v>912584</v>
      </c>
    </row>
    <row r="532" spans="1:4" x14ac:dyDescent="0.25">
      <c r="A532" t="str">
        <f>T("   170230")</f>
        <v xml:space="preserve">   170230</v>
      </c>
      <c r="B532" t="str">
        <f>T("   Glucose, à l'état solide, et sirop de glucose, sans addition d'aromatisants ou de colorants, ne contenant pas de fructose ou contenant en poids à l'état sec &lt; 20% de fructose")</f>
        <v xml:space="preserve">   Glucose, à l'état solide, et sirop de glucose, sans addition d'aromatisants ou de colorants, ne contenant pas de fructose ou contenant en poids à l'état sec &lt; 20% de fructose</v>
      </c>
      <c r="C532">
        <v>833109</v>
      </c>
      <c r="D532">
        <v>584</v>
      </c>
    </row>
    <row r="533" spans="1:4" x14ac:dyDescent="0.25">
      <c r="A533" t="str">
        <f>T("   170490")</f>
        <v xml:space="preserve">   170490</v>
      </c>
      <c r="B533" t="str">
        <f>T("   Sucreries sans cacao, y.c. le chocolat blanc (à l'excl. des gommes à mâcher)")</f>
        <v xml:space="preserve">   Sucreries sans cacao, y.c. le chocolat blanc (à l'excl. des gommes à mâcher)</v>
      </c>
      <c r="C533">
        <v>4584793</v>
      </c>
      <c r="D533">
        <v>2061</v>
      </c>
    </row>
    <row r="534" spans="1:4" x14ac:dyDescent="0.25">
      <c r="A534" t="str">
        <f>T("   180620")</f>
        <v xml:space="preserve">   180620</v>
      </c>
      <c r="B534" t="s">
        <v>45</v>
      </c>
      <c r="C534">
        <v>289272</v>
      </c>
      <c r="D534">
        <v>203</v>
      </c>
    </row>
    <row r="535" spans="1:4" x14ac:dyDescent="0.25">
      <c r="A535" t="str">
        <f>T("   180631")</f>
        <v xml:space="preserve">   180631</v>
      </c>
      <c r="B535" t="str">
        <f>T("   Chocolat et autres préparations alimentaires contenant du cacao, présentés en tablettes, barres ou bâtons, d'un poids &lt;= 2 kg, fourrés")</f>
        <v xml:space="preserve">   Chocolat et autres préparations alimentaires contenant du cacao, présentés en tablettes, barres ou bâtons, d'un poids &lt;= 2 kg, fourrés</v>
      </c>
      <c r="C535">
        <v>11054237</v>
      </c>
      <c r="D535">
        <v>14398</v>
      </c>
    </row>
    <row r="536" spans="1:4" x14ac:dyDescent="0.25">
      <c r="A536" t="str">
        <f>T("   180632")</f>
        <v xml:space="preserve">   180632</v>
      </c>
      <c r="B536" t="str">
        <f>T("   CHOCOLAT ET AUTRES PRÉPARATIONS ALIMENTAIRES CONTENANT DU CACAO, PRÉSENTÉS EN TABLETTES, BARRES OU BÂTONS, D'UN POIDS &lt;= 2 KG, NON-FOURRÉS")</f>
        <v xml:space="preserve">   CHOCOLAT ET AUTRES PRÉPARATIONS ALIMENTAIRES CONTENANT DU CACAO, PRÉSENTÉS EN TABLETTES, BARRES OU BÂTONS, D'UN POIDS &lt;= 2 KG, NON-FOURRÉS</v>
      </c>
      <c r="C536">
        <v>785840</v>
      </c>
      <c r="D536">
        <v>1287</v>
      </c>
    </row>
    <row r="537" spans="1:4" x14ac:dyDescent="0.25">
      <c r="A537" t="str">
        <f>T("   190110")</f>
        <v xml:space="preserve">   190110</v>
      </c>
      <c r="B537" t="s">
        <v>46</v>
      </c>
      <c r="C537">
        <v>10558006</v>
      </c>
      <c r="D537">
        <v>8935</v>
      </c>
    </row>
    <row r="538" spans="1:4" x14ac:dyDescent="0.25">
      <c r="A538" t="str">
        <f>T("   190120")</f>
        <v xml:space="preserve">   190120</v>
      </c>
      <c r="B538" t="s">
        <v>47</v>
      </c>
      <c r="C538">
        <v>1052185</v>
      </c>
      <c r="D538">
        <v>738</v>
      </c>
    </row>
    <row r="539" spans="1:4" x14ac:dyDescent="0.25">
      <c r="A539" t="str">
        <f>T("   190190")</f>
        <v xml:space="preserve">   190190</v>
      </c>
      <c r="B539" t="s">
        <v>48</v>
      </c>
      <c r="C539">
        <v>9754237</v>
      </c>
      <c r="D539">
        <v>2430</v>
      </c>
    </row>
    <row r="540" spans="1:4" x14ac:dyDescent="0.25">
      <c r="A540" t="str">
        <f>T("   190410")</f>
        <v xml:space="preserve">   190410</v>
      </c>
      <c r="B540" t="str">
        <f>T("   PRODUITS À BASE DE CÉRÉALES OBTENUS PAR SOUFFLAGE OU GRILLAGE [CORN FLAKES, P.EX.]")</f>
        <v xml:space="preserve">   PRODUITS À BASE DE CÉRÉALES OBTENUS PAR SOUFFLAGE OU GRILLAGE [CORN FLAKES, P.EX.]</v>
      </c>
      <c r="C540">
        <v>6610765</v>
      </c>
      <c r="D540">
        <v>7975</v>
      </c>
    </row>
    <row r="541" spans="1:4" x14ac:dyDescent="0.25">
      <c r="A541" t="str">
        <f>T("   190520")</f>
        <v xml:space="preserve">   190520</v>
      </c>
      <c r="B541" t="str">
        <f>T("   Pain d'épices, même additionné de cacao")</f>
        <v xml:space="preserve">   Pain d'épices, même additionné de cacao</v>
      </c>
      <c r="C541">
        <v>4648132</v>
      </c>
      <c r="D541">
        <v>7158</v>
      </c>
    </row>
    <row r="542" spans="1:4" x14ac:dyDescent="0.25">
      <c r="A542" t="str">
        <f>T("   190531")</f>
        <v xml:space="preserve">   190531</v>
      </c>
      <c r="B542" t="str">
        <f>T("   Biscuits additionnés d'édulcorants")</f>
        <v xml:space="preserve">   Biscuits additionnés d'édulcorants</v>
      </c>
      <c r="C542">
        <v>18469866</v>
      </c>
      <c r="D542">
        <v>48672</v>
      </c>
    </row>
    <row r="543" spans="1:4" x14ac:dyDescent="0.25">
      <c r="A543" t="str">
        <f>T("   190590")</f>
        <v xml:space="preserve">   190590</v>
      </c>
      <c r="B543" t="s">
        <v>50</v>
      </c>
      <c r="C543">
        <v>40313333</v>
      </c>
      <c r="D543">
        <v>57177</v>
      </c>
    </row>
    <row r="544" spans="1:4" x14ac:dyDescent="0.25">
      <c r="A544" t="str">
        <f>T("   200290")</f>
        <v xml:space="preserve">   200290</v>
      </c>
      <c r="B544" t="str">
        <f>T("   Tomates, préparées ou conservées autrement qu'au vinaigre ou à l'acide acétique (à l'excl. des tomates entières ou en morceaux)")</f>
        <v xml:space="preserve">   Tomates, préparées ou conservées autrement qu'au vinaigre ou à l'acide acétique (à l'excl. des tomates entières ou en morceaux)</v>
      </c>
      <c r="C544">
        <v>8584476</v>
      </c>
      <c r="D544">
        <v>13825</v>
      </c>
    </row>
    <row r="545" spans="1:4" x14ac:dyDescent="0.25">
      <c r="A545" t="str">
        <f>T("   200310")</f>
        <v xml:space="preserve">   200310</v>
      </c>
      <c r="B545" t="str">
        <f>T("   Champignons du genre 'Agaricus', préparés ou conservés autrement qu'au vinaigre ou à l'acide acétique")</f>
        <v xml:space="preserve">   Champignons du genre 'Agaricus', préparés ou conservés autrement qu'au vinaigre ou à l'acide acétique</v>
      </c>
      <c r="C545">
        <v>1361774</v>
      </c>
      <c r="D545">
        <v>1528</v>
      </c>
    </row>
    <row r="546" spans="1:4" x14ac:dyDescent="0.25">
      <c r="A546" t="str">
        <f>T("   200410")</f>
        <v xml:space="preserve">   200410</v>
      </c>
      <c r="B546" t="str">
        <f>T("   Pommes de terre, préparées ou conservées autrement qu'au vinaigre ou à l'acide acétique, congelées")</f>
        <v xml:space="preserve">   Pommes de terre, préparées ou conservées autrement qu'au vinaigre ou à l'acide acétique, congelées</v>
      </c>
      <c r="C546">
        <v>36231294</v>
      </c>
      <c r="D546">
        <v>140280</v>
      </c>
    </row>
    <row r="547" spans="1:4" x14ac:dyDescent="0.25">
      <c r="A547" t="str">
        <f>T("   200540")</f>
        <v xml:space="preserve">   200540</v>
      </c>
      <c r="B547" t="str">
        <f>T("   Pois [Pisum sativum], préparés ou conservés autrement qu'au vinaigre ou à l'acide acétique, non congelés")</f>
        <v xml:space="preserve">   Pois [Pisum sativum], préparés ou conservés autrement qu'au vinaigre ou à l'acide acétique, non congelés</v>
      </c>
      <c r="C547">
        <v>4282762</v>
      </c>
      <c r="D547">
        <v>5167</v>
      </c>
    </row>
    <row r="548" spans="1:4" x14ac:dyDescent="0.25">
      <c r="A548" t="str">
        <f>T("   200551")</f>
        <v xml:space="preserve">   200551</v>
      </c>
      <c r="B548" t="str">
        <f>T("   Haricots [Vigna spp., Phaseolus spp.], en grains, préparés ou conservés autrement qu'au vinaigre ou à l'acide acétique, non congelés")</f>
        <v xml:space="preserve">   Haricots [Vigna spp., Phaseolus spp.], en grains, préparés ou conservés autrement qu'au vinaigre ou à l'acide acétique, non congelés</v>
      </c>
      <c r="C548">
        <v>1508053</v>
      </c>
      <c r="D548">
        <v>2367</v>
      </c>
    </row>
    <row r="549" spans="1:4" x14ac:dyDescent="0.25">
      <c r="A549" t="str">
        <f>T("   200590")</f>
        <v xml:space="preserve">   200590</v>
      </c>
      <c r="B549" t="s">
        <v>51</v>
      </c>
      <c r="C549">
        <v>21142246</v>
      </c>
      <c r="D549">
        <v>24375</v>
      </c>
    </row>
    <row r="550" spans="1:4" x14ac:dyDescent="0.25">
      <c r="A550" t="str">
        <f>T("   200791")</f>
        <v xml:space="preserve">   200791</v>
      </c>
      <c r="B550" t="str">
        <f>T("   Confitures, gelées, marmelades, purées et pâtes d'agrumes, obtenues par cuisson, avec ou sans addition de sucre ou d'autres édulcorants (à l'excl. des préparations homogénéisées du n° 2007.10)")</f>
        <v xml:space="preserve">   Confitures, gelées, marmelades, purées et pâtes d'agrumes, obtenues par cuisson, avec ou sans addition de sucre ou d'autres édulcorants (à l'excl. des préparations homogénéisées du n° 2007.10)</v>
      </c>
      <c r="C550">
        <v>4743902</v>
      </c>
      <c r="D550">
        <v>3004</v>
      </c>
    </row>
    <row r="551" spans="1:4" x14ac:dyDescent="0.25">
      <c r="A551" t="str">
        <f>T("   200799")</f>
        <v xml:space="preserve">   200799</v>
      </c>
      <c r="B551" t="s">
        <v>53</v>
      </c>
      <c r="C551">
        <v>8998461</v>
      </c>
      <c r="D551">
        <v>14741</v>
      </c>
    </row>
    <row r="552" spans="1:4" x14ac:dyDescent="0.25">
      <c r="A552" t="str">
        <f>T("   200961")</f>
        <v xml:space="preserve">   200961</v>
      </c>
      <c r="B552" t="str">
        <f>T("   JUS DE RAISIN - Y.C. LES MOÛTS DE RAISIN -, NON-FERMENTÉS, SANS ADDITION D'ALCOOL, AVEC OU SANS ADDITION DE SUCRE OU D'AUTRES ÉDULCORANTS, D'UNE VALEUR BRIX &lt;= 30 À 20°C")</f>
        <v xml:space="preserve">   JUS DE RAISIN - Y.C. LES MOÛTS DE RAISIN -, NON-FERMENTÉS, SANS ADDITION D'ALCOOL, AVEC OU SANS ADDITION DE SUCRE OU D'AUTRES ÉDULCORANTS, D'UNE VALEUR BRIX &lt;= 30 À 20°C</v>
      </c>
      <c r="C552">
        <v>12008391</v>
      </c>
      <c r="D552">
        <v>51955</v>
      </c>
    </row>
    <row r="553" spans="1:4" x14ac:dyDescent="0.25">
      <c r="A553" t="str">
        <f>T("   200969")</f>
        <v xml:space="preserve">   200969</v>
      </c>
      <c r="B553" t="str">
        <f>T("   JUS DE RAISIN - Y.C. LES MOÛTS DE RAISIN -, NON-FERMENTÉS, SANS ADDITION D'ALCOOL, AVEC OU SANS ADDITION DE SUCRE OU D'AUTRES ÉDULCORANTS, D'UNE VALEUR BRIX &gt; 30 À 20°C")</f>
        <v xml:space="preserve">   JUS DE RAISIN - Y.C. LES MOÛTS DE RAISIN -, NON-FERMENTÉS, SANS ADDITION D'ALCOOL, AVEC OU SANS ADDITION DE SUCRE OU D'AUTRES ÉDULCORANTS, D'UNE VALEUR BRIX &gt; 30 À 20°C</v>
      </c>
      <c r="C553">
        <v>76321571</v>
      </c>
      <c r="D553">
        <v>229592</v>
      </c>
    </row>
    <row r="554" spans="1:4" x14ac:dyDescent="0.25">
      <c r="A554" t="str">
        <f>T("   200980")</f>
        <v xml:space="preserve">   200980</v>
      </c>
      <c r="B554" t="str">
        <f>T("   JUS DE FRUITS OU DE LÉGUMES, NON-FERMENTÉS, SANS ADDITION D'ALCOOL, AVEC OU SANS ADDITION DE SUCRE OU D'AUTRES ÉDULCORANTS (À L'EXCL. DES MÉLANGES AINSI QUE DES JUS D'AGRUMES, D'ANANAS, DE TOMATE, DE RAISIN - Y.C. LES MOÛTS - ET DE POMME)")</f>
        <v xml:space="preserve">   JUS DE FRUITS OU DE LÉGUMES, NON-FERMENTÉS, SANS ADDITION D'ALCOOL, AVEC OU SANS ADDITION DE SUCRE OU D'AUTRES ÉDULCORANTS (À L'EXCL. DES MÉLANGES AINSI QUE DES JUS D'AGRUMES, D'ANANAS, DE TOMATE, DE RAISIN - Y.C. LES MOÛTS - ET DE POMME)</v>
      </c>
      <c r="C554">
        <v>34547249</v>
      </c>
      <c r="D554">
        <v>117464</v>
      </c>
    </row>
    <row r="555" spans="1:4" x14ac:dyDescent="0.25">
      <c r="A555" t="str">
        <f>T("   200990")</f>
        <v xml:space="preserve">   200990</v>
      </c>
      <c r="B555" t="str">
        <f>T("   MÉLANGES DE JUS DE FRUITS - Y.C. LES MOÛTS DE RAISIN - ET DE JUS DE LÉGUMES, NON-FERMENTÉS, SANS ADDITION D'ALCOOL, AVEC OU SANS ADDITION DE SUCRE OU D'AUTRES ÉDULCORANTS")</f>
        <v xml:space="preserve">   MÉLANGES DE JUS DE FRUITS - Y.C. LES MOÛTS DE RAISIN - ET DE JUS DE LÉGUMES, NON-FERMENTÉS, SANS ADDITION D'ALCOOL, AVEC OU SANS ADDITION DE SUCRE OU D'AUTRES ÉDULCORANTS</v>
      </c>
      <c r="C555">
        <v>20496500</v>
      </c>
      <c r="D555">
        <v>65270</v>
      </c>
    </row>
    <row r="556" spans="1:4" x14ac:dyDescent="0.25">
      <c r="A556" t="str">
        <f>T("   210230")</f>
        <v xml:space="preserve">   210230</v>
      </c>
      <c r="B556" t="str">
        <f>T("   Poudres à lever préparées")</f>
        <v xml:space="preserve">   Poudres à lever préparées</v>
      </c>
      <c r="C556">
        <v>42232148</v>
      </c>
      <c r="D556">
        <v>53163</v>
      </c>
    </row>
    <row r="557" spans="1:4" x14ac:dyDescent="0.25">
      <c r="A557" t="str">
        <f>T("   210390")</f>
        <v xml:space="preserve">   210390</v>
      </c>
      <c r="B557" t="str">
        <f>T("   Préparations pour sauces et sauces préparées; condiments et assaisonnements, composés (à l'excl. de la sauce de soja, du tomato ketchup et autres sauces tomates, de la farine de moutarde et de la moutarde préparée)")</f>
        <v xml:space="preserve">   Préparations pour sauces et sauces préparées; condiments et assaisonnements, composés (à l'excl. de la sauce de soja, du tomato ketchup et autres sauces tomates, de la farine de moutarde et de la moutarde préparée)</v>
      </c>
      <c r="C557">
        <v>7860008</v>
      </c>
      <c r="D557">
        <v>12891</v>
      </c>
    </row>
    <row r="558" spans="1:4" x14ac:dyDescent="0.25">
      <c r="A558" t="str">
        <f>T("   210500")</f>
        <v xml:space="preserve">   210500</v>
      </c>
      <c r="B558" t="str">
        <f>T("   Glaces de consommation, même contenant du cacao")</f>
        <v xml:space="preserve">   Glaces de consommation, même contenant du cacao</v>
      </c>
      <c r="C558">
        <v>5618895</v>
      </c>
      <c r="D558">
        <v>7174</v>
      </c>
    </row>
    <row r="559" spans="1:4" x14ac:dyDescent="0.25">
      <c r="A559" t="str">
        <f>T("   210690")</f>
        <v xml:space="preserve">   210690</v>
      </c>
      <c r="B559" t="str">
        <f>T("   Préparations alimentaires, n.d.a.")</f>
        <v xml:space="preserve">   Préparations alimentaires, n.d.a.</v>
      </c>
      <c r="C559">
        <v>29237616</v>
      </c>
      <c r="D559">
        <v>52120</v>
      </c>
    </row>
    <row r="560" spans="1:4" x14ac:dyDescent="0.25">
      <c r="A560" t="str">
        <f>T("   220190")</f>
        <v xml:space="preserve">   220190</v>
      </c>
      <c r="B560" t="str">
        <f>T("   Eaux, non additionnées de sucre ou d'autres édulcorants ni aromatisées (à l'excl. des eaux minérales, des eaux gazéifiées, de l'eau de mer ainsi que des eaux distillées, de conductibilité ou de même degré de pureté); glace et neige")</f>
        <v xml:space="preserve">   Eaux, non additionnées de sucre ou d'autres édulcorants ni aromatisées (à l'excl. des eaux minérales, des eaux gazéifiées, de l'eau de mer ainsi que des eaux distillées, de conductibilité ou de même degré de pureté); glace et neige</v>
      </c>
      <c r="C560">
        <v>2589074</v>
      </c>
      <c r="D560">
        <v>14429</v>
      </c>
    </row>
    <row r="561" spans="1:4" x14ac:dyDescent="0.25">
      <c r="A561" t="str">
        <f>T("   220210")</f>
        <v xml:space="preserve">   220210</v>
      </c>
      <c r="B561" t="str">
        <f>T("   Eaux, y.c. les eaux minérales et les eaux gazéifiées, additionnées de sucre ou d'autres édulcorants ou aromatisées, directement consommables en l'état en tant que boissons")</f>
        <v xml:space="preserve">   Eaux, y.c. les eaux minérales et les eaux gazéifiées, additionnées de sucre ou d'autres édulcorants ou aromatisées, directement consommables en l'état en tant que boissons</v>
      </c>
      <c r="C561">
        <v>52547945</v>
      </c>
      <c r="D561">
        <v>93192</v>
      </c>
    </row>
    <row r="562" spans="1:4" x14ac:dyDescent="0.25">
      <c r="A562" t="str">
        <f>T("   220290")</f>
        <v xml:space="preserve">   220290</v>
      </c>
      <c r="B562" t="str">
        <f>T("   BOISSONS NON-ALCOOLIQUES (À L'EXCL. DES EAUX, DES JUS DE FRUITS OU DE LÉGUMES AINSI QUE DU LAIT)")</f>
        <v xml:space="preserve">   BOISSONS NON-ALCOOLIQUES (À L'EXCL. DES EAUX, DES JUS DE FRUITS OU DE LÉGUMES AINSI QUE DU LAIT)</v>
      </c>
      <c r="C562">
        <v>555402025</v>
      </c>
      <c r="D562">
        <v>1699993</v>
      </c>
    </row>
    <row r="563" spans="1:4" x14ac:dyDescent="0.25">
      <c r="A563" t="str">
        <f>T("   220300")</f>
        <v xml:space="preserve">   220300</v>
      </c>
      <c r="B563" t="str">
        <f>T("   Bières de malt")</f>
        <v xml:space="preserve">   Bières de malt</v>
      </c>
      <c r="C563">
        <v>52822225</v>
      </c>
      <c r="D563">
        <v>219778</v>
      </c>
    </row>
    <row r="564" spans="1:4" x14ac:dyDescent="0.25">
      <c r="A564" t="str">
        <f>T("   220410")</f>
        <v xml:space="preserve">   220410</v>
      </c>
      <c r="B564" t="str">
        <f>T("   Vins mousseux produits à partir de raisins frais")</f>
        <v xml:space="preserve">   Vins mousseux produits à partir de raisins frais</v>
      </c>
      <c r="C564">
        <v>11466837</v>
      </c>
      <c r="D564">
        <v>3252</v>
      </c>
    </row>
    <row r="565" spans="1:4" x14ac:dyDescent="0.25">
      <c r="A565" t="str">
        <f>T("   220421")</f>
        <v xml:space="preserve">   220421</v>
      </c>
      <c r="B565" t="str">
        <f>T("   Vins de raisins frais, y.c. les vins enrichis en alcool (à l'excl. des vins mousseux); moûts de raisins dont la fermentation a été empêchée ou arrêtée par addition d'alcool, en récipients d'une contenance &lt;= 2 l")</f>
        <v xml:space="preserve">   Vins de raisins frais, y.c. les vins enrichis en alcool (à l'excl. des vins mousseux); moûts de raisins dont la fermentation a été empêchée ou arrêtée par addition d'alcool, en récipients d'une contenance &lt;= 2 l</v>
      </c>
      <c r="C565">
        <v>6850408</v>
      </c>
      <c r="D565">
        <v>14041</v>
      </c>
    </row>
    <row r="566" spans="1:4" x14ac:dyDescent="0.25">
      <c r="A566" t="str">
        <f>T("   220429")</f>
        <v xml:space="preserve">   220429</v>
      </c>
      <c r="B566" t="str">
        <f>T("   VINS DE RAISINS FRAIS, Y.C. LES VINS ENRICHIS EN ALCOOL, ET MOÛTS DE RAISINS DONT LA FERMENTATION A ÉTÉ EMPÊCHÉE OU ARRÊTÉE PAR ADDITION D'ALCOOL, EN RÉCIPIENTS D'UNE CONTENANCE &gt; 2 L (À L'EXCL. DES VINS MOUSSEUX)")</f>
        <v xml:space="preserve">   VINS DE RAISINS FRAIS, Y.C. LES VINS ENRICHIS EN ALCOOL, ET MOÛTS DE RAISINS DONT LA FERMENTATION A ÉTÉ EMPÊCHÉE OU ARRÊTÉE PAR ADDITION D'ALCOOL, EN RÉCIPIENTS D'UNE CONTENANCE &gt; 2 L (À L'EXCL. DES VINS MOUSSEUX)</v>
      </c>
      <c r="C566">
        <v>77477</v>
      </c>
      <c r="D566">
        <v>960</v>
      </c>
    </row>
    <row r="567" spans="1:4" x14ac:dyDescent="0.25">
      <c r="A567" t="str">
        <f>T("   220600")</f>
        <v xml:space="preserve">   220600</v>
      </c>
      <c r="B567" t="s">
        <v>57</v>
      </c>
      <c r="C567">
        <v>21075414</v>
      </c>
      <c r="D567">
        <v>96518</v>
      </c>
    </row>
    <row r="568" spans="1:4" x14ac:dyDescent="0.25">
      <c r="A568" t="str">
        <f>T("   220720")</f>
        <v xml:space="preserve">   220720</v>
      </c>
      <c r="B568" t="str">
        <f>T("   Alcool éthylique et eaux-de-vie dénaturés de tous titres")</f>
        <v xml:space="preserve">   Alcool éthylique et eaux-de-vie dénaturés de tous titres</v>
      </c>
      <c r="C568">
        <v>206628</v>
      </c>
      <c r="D568">
        <v>168</v>
      </c>
    </row>
    <row r="569" spans="1:4" x14ac:dyDescent="0.25">
      <c r="A569" t="str">
        <f>T("   220830")</f>
        <v xml:space="preserve">   220830</v>
      </c>
      <c r="B569" t="str">
        <f>T("   Whiskies")</f>
        <v xml:space="preserve">   Whiskies</v>
      </c>
      <c r="C569">
        <v>26980965</v>
      </c>
      <c r="D569">
        <v>82414</v>
      </c>
    </row>
    <row r="570" spans="1:4" x14ac:dyDescent="0.25">
      <c r="A570" t="str">
        <f>T("   220850")</f>
        <v xml:space="preserve">   220850</v>
      </c>
      <c r="B570" t="str">
        <f>T("   Gin et genièvre")</f>
        <v xml:space="preserve">   Gin et genièvre</v>
      </c>
      <c r="C570">
        <v>88013472</v>
      </c>
      <c r="D570">
        <v>338850</v>
      </c>
    </row>
    <row r="571" spans="1:4" x14ac:dyDescent="0.25">
      <c r="A571" t="str">
        <f>T("   220860")</f>
        <v xml:space="preserve">   220860</v>
      </c>
      <c r="B571" t="str">
        <f>T("   VODKA")</f>
        <v xml:space="preserve">   VODKA</v>
      </c>
      <c r="C571">
        <v>4430598</v>
      </c>
      <c r="D571">
        <v>12657</v>
      </c>
    </row>
    <row r="572" spans="1:4" x14ac:dyDescent="0.25">
      <c r="A572" t="str">
        <f>T("   220870")</f>
        <v xml:space="preserve">   220870</v>
      </c>
      <c r="B572" t="str">
        <f>T("   LIQUEURS")</f>
        <v xml:space="preserve">   LIQUEURS</v>
      </c>
      <c r="C572">
        <v>32312858</v>
      </c>
      <c r="D572">
        <v>71583</v>
      </c>
    </row>
    <row r="573" spans="1:4" x14ac:dyDescent="0.25">
      <c r="A573" t="str">
        <f>T("   220890")</f>
        <v xml:space="preserve">   220890</v>
      </c>
      <c r="B573" t="s">
        <v>58</v>
      </c>
      <c r="C573">
        <v>92423198</v>
      </c>
      <c r="D573">
        <v>299353</v>
      </c>
    </row>
    <row r="574" spans="1:4" x14ac:dyDescent="0.25">
      <c r="A574" t="str">
        <f>T("   230910")</f>
        <v xml:space="preserve">   230910</v>
      </c>
      <c r="B574" t="str">
        <f>T("   Aliments pour chiens ou chats, conditionnés pour la vente au détail")</f>
        <v xml:space="preserve">   Aliments pour chiens ou chats, conditionnés pour la vente au détail</v>
      </c>
      <c r="C574">
        <v>20581405</v>
      </c>
      <c r="D574">
        <v>28831</v>
      </c>
    </row>
    <row r="575" spans="1:4" x14ac:dyDescent="0.25">
      <c r="A575" t="str">
        <f>T("   230990")</f>
        <v xml:space="preserve">   230990</v>
      </c>
      <c r="B575" t="str">
        <f>T("   Préparations des types utilisés pour l'alimentation des animaux (à l'excl. des aliments pour chiens ou chats conditionnés pour la vente au détail)")</f>
        <v xml:space="preserve">   Préparations des types utilisés pour l'alimentation des animaux (à l'excl. des aliments pour chiens ou chats conditionnés pour la vente au détail)</v>
      </c>
      <c r="C575">
        <v>260099901</v>
      </c>
      <c r="D575">
        <v>785957</v>
      </c>
    </row>
    <row r="576" spans="1:4" x14ac:dyDescent="0.25">
      <c r="A576" t="str">
        <f>T("   250810")</f>
        <v xml:space="preserve">   250810</v>
      </c>
      <c r="B576" t="str">
        <f>T("   Bentonite")</f>
        <v xml:space="preserve">   Bentonite</v>
      </c>
      <c r="C576">
        <v>2931485</v>
      </c>
      <c r="D576">
        <v>725</v>
      </c>
    </row>
    <row r="577" spans="1:4" x14ac:dyDescent="0.25">
      <c r="A577" t="str">
        <f>T("   252210")</f>
        <v xml:space="preserve">   252210</v>
      </c>
      <c r="B577" t="str">
        <f>T("   Chaux vive")</f>
        <v xml:space="preserve">   Chaux vive</v>
      </c>
      <c r="C577">
        <v>3219684</v>
      </c>
      <c r="D577">
        <v>19035</v>
      </c>
    </row>
    <row r="578" spans="1:4" x14ac:dyDescent="0.25">
      <c r="A578" t="str">
        <f>T("   252390")</f>
        <v xml:space="preserve">   252390</v>
      </c>
      <c r="B578" t="str">
        <f>T("   Ciments, même colorés (à l'excl. des ciments Portland et des ciments alumineux)")</f>
        <v xml:space="preserve">   Ciments, même colorés (à l'excl. des ciments Portland et des ciments alumineux)</v>
      </c>
      <c r="C578">
        <v>162853878</v>
      </c>
      <c r="D578">
        <v>1695440</v>
      </c>
    </row>
    <row r="579" spans="1:4" x14ac:dyDescent="0.25">
      <c r="A579" t="str">
        <f>T("   252520")</f>
        <v xml:space="preserve">   252520</v>
      </c>
      <c r="B579" t="str">
        <f>T("   Mica en poudre")</f>
        <v xml:space="preserve">   Mica en poudre</v>
      </c>
      <c r="C579">
        <v>2729449</v>
      </c>
      <c r="D579">
        <v>12620</v>
      </c>
    </row>
    <row r="580" spans="1:4" x14ac:dyDescent="0.25">
      <c r="A580" t="str">
        <f>T("   270730")</f>
        <v xml:space="preserve">   270730</v>
      </c>
      <c r="B580" t="str">
        <f>T("   XYLOL 'XYLÈNES' CONTENANT &gt; 50% DE XYLÈNES (À L'EXCL. DES PRODUITS DE CONSTITUTION CHIMIQUE DÉFINIE)")</f>
        <v xml:space="preserve">   XYLOL 'XYLÈNES' CONTENANT &gt; 50% DE XYLÈNES (À L'EXCL. DES PRODUITS DE CONSTITUTION CHIMIQUE DÉFINIE)</v>
      </c>
      <c r="C580">
        <v>5337770</v>
      </c>
      <c r="D580">
        <v>5580</v>
      </c>
    </row>
    <row r="581" spans="1:4" x14ac:dyDescent="0.25">
      <c r="A581" t="str">
        <f>T("   270750")</f>
        <v xml:space="preserve">   270750</v>
      </c>
      <c r="B581" t="str">
        <f>T("   MÉLANGES D'HYDROCARBURES AROMATIQUES DISTILLANT &gt;= 65% DE LEUR VOLUME, Y.C. LES PERTES, À 250°C D'APRÈS LA MÉTHODE ASTM D 86 (À L'EXCL. DES PRODUITS DE CONSTITUTION CHIMIQUE DÉFINIE)")</f>
        <v xml:space="preserve">   MÉLANGES D'HYDROCARBURES AROMATIQUES DISTILLANT &gt;= 65% DE LEUR VOLUME, Y.C. LES PERTES, À 250°C D'APRÈS LA MÉTHODE ASTM D 86 (À L'EXCL. DES PRODUITS DE CONSTITUTION CHIMIQUE DÉFINIE)</v>
      </c>
      <c r="C581">
        <v>11683305</v>
      </c>
      <c r="D581">
        <v>9869</v>
      </c>
    </row>
    <row r="582" spans="1:4" x14ac:dyDescent="0.25">
      <c r="A582" t="str">
        <f>T("   271011")</f>
        <v xml:space="preserve">   271011</v>
      </c>
      <c r="B582" t="str">
        <f>T("   HUILES LÉGÈRES ET PRÉPARATIONS DE PÉTROLE OU DE MINÉRAUX BITUMINEUX DISTILLANT EN VOLUME, Y.C. LES PERTES, &gt;= 90% À 210°C, D'APRÈS LA MÉTHODE ASTM D 86")</f>
        <v xml:space="preserve">   HUILES LÉGÈRES ET PRÉPARATIONS DE PÉTROLE OU DE MINÉRAUX BITUMINEUX DISTILLANT EN VOLUME, Y.C. LES PERTES, &gt;= 90% À 210°C, D'APRÈS LA MÉTHODE ASTM D 86</v>
      </c>
      <c r="C582">
        <v>18621797</v>
      </c>
      <c r="D582">
        <v>16392</v>
      </c>
    </row>
    <row r="583" spans="1:4" x14ac:dyDescent="0.25">
      <c r="A583" t="str">
        <f>T("   271019")</f>
        <v xml:space="preserve">   271019</v>
      </c>
      <c r="B583" t="str">
        <f>T("   Huiles moyennes et préparations, de pétrole ou de minéraux bitumineux, n.d.a.")</f>
        <v xml:space="preserve">   Huiles moyennes et préparations, de pétrole ou de minéraux bitumineux, n.d.a.</v>
      </c>
      <c r="C583">
        <v>3844761532</v>
      </c>
      <c r="D583">
        <v>13990745</v>
      </c>
    </row>
    <row r="584" spans="1:4" x14ac:dyDescent="0.25">
      <c r="A584" t="str">
        <f>T("   271320")</f>
        <v xml:space="preserve">   271320</v>
      </c>
      <c r="B584" t="str">
        <f>T("   Bitume de pétrole")</f>
        <v xml:space="preserve">   Bitume de pétrole</v>
      </c>
      <c r="C584">
        <v>144739327</v>
      </c>
      <c r="D584">
        <v>327320</v>
      </c>
    </row>
    <row r="585" spans="1:4" x14ac:dyDescent="0.25">
      <c r="A585" t="str">
        <f>T("   280610")</f>
        <v xml:space="preserve">   280610</v>
      </c>
      <c r="B585" t="str">
        <f>T("   Chlorure d'hydrogène [acide chlorhydrique]")</f>
        <v xml:space="preserve">   Chlorure d'hydrogène [acide chlorhydrique]</v>
      </c>
      <c r="C585">
        <v>31777372</v>
      </c>
      <c r="D585">
        <v>165832</v>
      </c>
    </row>
    <row r="586" spans="1:4" x14ac:dyDescent="0.25">
      <c r="A586" t="str">
        <f>T("   280700")</f>
        <v xml:space="preserve">   280700</v>
      </c>
      <c r="B586" t="str">
        <f>T("   Acide sulfurique; oléum")</f>
        <v xml:space="preserve">   Acide sulfurique; oléum</v>
      </c>
      <c r="C586">
        <v>9700651</v>
      </c>
      <c r="D586">
        <v>50060</v>
      </c>
    </row>
    <row r="587" spans="1:4" x14ac:dyDescent="0.25">
      <c r="A587" t="str">
        <f>T("   280800")</f>
        <v xml:space="preserve">   280800</v>
      </c>
      <c r="B587" t="str">
        <f>T("   Acide nitrique; acides sulfonitriques")</f>
        <v xml:space="preserve">   Acide nitrique; acides sulfonitriques</v>
      </c>
      <c r="C587">
        <v>4842953</v>
      </c>
      <c r="D587">
        <v>25240</v>
      </c>
    </row>
    <row r="588" spans="1:4" x14ac:dyDescent="0.25">
      <c r="A588" t="str">
        <f>T("   281511")</f>
        <v xml:space="preserve">   281511</v>
      </c>
      <c r="B588" t="str">
        <f>T("   Hydroxyde de sodium [soude caustique], solide")</f>
        <v xml:space="preserve">   Hydroxyde de sodium [soude caustique], solide</v>
      </c>
      <c r="C588">
        <v>85379866</v>
      </c>
      <c r="D588">
        <v>171556</v>
      </c>
    </row>
    <row r="589" spans="1:4" x14ac:dyDescent="0.25">
      <c r="A589" t="str">
        <f>T("   281700")</f>
        <v xml:space="preserve">   281700</v>
      </c>
      <c r="B589" t="str">
        <f>T("   Oxyde de zinc; peroxyde de zinc")</f>
        <v xml:space="preserve">   Oxyde de zinc; peroxyde de zinc</v>
      </c>
      <c r="C589">
        <v>657928</v>
      </c>
      <c r="D589">
        <v>440</v>
      </c>
    </row>
    <row r="590" spans="1:4" x14ac:dyDescent="0.25">
      <c r="A590" t="str">
        <f>T("   282300")</f>
        <v xml:space="preserve">   282300</v>
      </c>
      <c r="B590" t="str">
        <f>T("   Oxydes de titane")</f>
        <v xml:space="preserve">   Oxydes de titane</v>
      </c>
      <c r="C590">
        <v>22105196</v>
      </c>
      <c r="D590">
        <v>12670</v>
      </c>
    </row>
    <row r="591" spans="1:4" x14ac:dyDescent="0.25">
      <c r="A591" t="str">
        <f>T("   282810")</f>
        <v xml:space="preserve">   282810</v>
      </c>
      <c r="B591" t="str">
        <f>T("   Hypochlorites de calcium, y.c. l'hypochlorite de calcium du commerce")</f>
        <v xml:space="preserve">   Hypochlorites de calcium, y.c. l'hypochlorite de calcium du commerce</v>
      </c>
      <c r="C591">
        <v>391609</v>
      </c>
      <c r="D591">
        <v>641</v>
      </c>
    </row>
    <row r="592" spans="1:4" x14ac:dyDescent="0.25">
      <c r="A592" t="str">
        <f>T("   282890")</f>
        <v xml:space="preserve">   282890</v>
      </c>
      <c r="B592" t="str">
        <f>T("   Hypochlorites, chlorites et hypobromites (à l'excl. des hypochlorites de calcium)")</f>
        <v xml:space="preserve">   Hypochlorites, chlorites et hypobromites (à l'excl. des hypochlorites de calcium)</v>
      </c>
      <c r="C592">
        <v>5602323</v>
      </c>
      <c r="D592">
        <v>15445</v>
      </c>
    </row>
    <row r="593" spans="1:4" x14ac:dyDescent="0.25">
      <c r="A593" t="str">
        <f>T("   283326")</f>
        <v xml:space="preserve">   283326</v>
      </c>
      <c r="B593" t="str">
        <f>T("   SULFATE DE ZINC")</f>
        <v xml:space="preserve">   SULFATE DE ZINC</v>
      </c>
      <c r="C593">
        <v>410631</v>
      </c>
      <c r="D593">
        <v>24</v>
      </c>
    </row>
    <row r="594" spans="1:4" x14ac:dyDescent="0.25">
      <c r="A594" t="str">
        <f>T("   283329")</f>
        <v xml:space="preserve">   283329</v>
      </c>
      <c r="B594" t="str">
        <f>T("   SULFATES (AUTRES QUE DE SODIUM, DE MAGNÉSIUM, D'ALUMINIUM, DE NICKEL, DE CUIVRE, DE BARYUM OU DE MERCURE)")</f>
        <v xml:space="preserve">   SULFATES (AUTRES QUE DE SODIUM, DE MAGNÉSIUM, D'ALUMINIUM, DE NICKEL, DE CUIVRE, DE BARYUM OU DE MERCURE)</v>
      </c>
      <c r="C594">
        <v>2074802</v>
      </c>
      <c r="D594">
        <v>16144</v>
      </c>
    </row>
    <row r="595" spans="1:4" x14ac:dyDescent="0.25">
      <c r="A595" t="str">
        <f>T("   283525")</f>
        <v xml:space="preserve">   283525</v>
      </c>
      <c r="B595" t="str">
        <f>T("   Hydrogénoorthophosphate de calcium [phosphate dicalcique]")</f>
        <v xml:space="preserve">   Hydrogénoorthophosphate de calcium [phosphate dicalcique]</v>
      </c>
      <c r="C595">
        <v>7095519</v>
      </c>
      <c r="D595">
        <v>44658</v>
      </c>
    </row>
    <row r="596" spans="1:4" x14ac:dyDescent="0.25">
      <c r="A596" t="str">
        <f>T("   283526")</f>
        <v xml:space="preserve">   283526</v>
      </c>
      <c r="B596" t="str">
        <f>T("   Phosphates de calcium (à l'excl. de l'hydrogénoorthophosphate de calcium [phosphate dicalcique])")</f>
        <v xml:space="preserve">   Phosphates de calcium (à l'excl. de l'hydrogénoorthophosphate de calcium [phosphate dicalcique])</v>
      </c>
      <c r="C596">
        <v>3633362</v>
      </c>
      <c r="D596">
        <v>20203</v>
      </c>
    </row>
    <row r="597" spans="1:4" x14ac:dyDescent="0.25">
      <c r="A597" t="str">
        <f>T("   283630")</f>
        <v xml:space="preserve">   283630</v>
      </c>
      <c r="B597" t="str">
        <f>T("   Hydrogénocarbonate [bicarbonate] de sodium")</f>
        <v xml:space="preserve">   Hydrogénocarbonate [bicarbonate] de sodium</v>
      </c>
      <c r="C597">
        <v>4408051</v>
      </c>
      <c r="D597">
        <v>22171</v>
      </c>
    </row>
    <row r="598" spans="1:4" x14ac:dyDescent="0.25">
      <c r="A598" t="str">
        <f>T("   283650")</f>
        <v xml:space="preserve">   283650</v>
      </c>
      <c r="B598" t="str">
        <f>T("   Carbonate de calcium")</f>
        <v xml:space="preserve">   Carbonate de calcium</v>
      </c>
      <c r="C598">
        <v>3508074</v>
      </c>
      <c r="D598">
        <v>24312</v>
      </c>
    </row>
    <row r="599" spans="1:4" x14ac:dyDescent="0.25">
      <c r="A599" t="str">
        <f>T("   290230")</f>
        <v xml:space="preserve">   290230</v>
      </c>
      <c r="B599" t="str">
        <f>T("   Toluène")</f>
        <v xml:space="preserve">   Toluène</v>
      </c>
      <c r="C599">
        <v>12644285</v>
      </c>
      <c r="D599">
        <v>18000</v>
      </c>
    </row>
    <row r="600" spans="1:4" x14ac:dyDescent="0.25">
      <c r="A600" t="str">
        <f>T("   290244")</f>
        <v xml:space="preserve">   290244</v>
      </c>
      <c r="B600" t="str">
        <f>T("   Isomères du xylène en mélange")</f>
        <v xml:space="preserve">   Isomères du xylène en mélange</v>
      </c>
      <c r="C600">
        <v>1946889</v>
      </c>
      <c r="D600">
        <v>1825</v>
      </c>
    </row>
    <row r="601" spans="1:4" x14ac:dyDescent="0.25">
      <c r="A601" t="str">
        <f>T("   290514")</f>
        <v xml:space="preserve">   290514</v>
      </c>
      <c r="B601" t="str">
        <f>T("   Butanols (à l'excl. du butane-1-ol [alcool n-butylique])")</f>
        <v xml:space="preserve">   Butanols (à l'excl. du butane-1-ol [alcool n-butylique])</v>
      </c>
      <c r="C601">
        <v>2153518</v>
      </c>
      <c r="D601">
        <v>1500</v>
      </c>
    </row>
    <row r="602" spans="1:4" x14ac:dyDescent="0.25">
      <c r="A602" t="str">
        <f>T("   290531")</f>
        <v xml:space="preserve">   290531</v>
      </c>
      <c r="B602" t="str">
        <f>T("   ÉTHYLÈNE GLYCOL [ÉTHANEDIOL]")</f>
        <v xml:space="preserve">   ÉTHYLÈNE GLYCOL [ÉTHANEDIOL]</v>
      </c>
      <c r="C602">
        <v>2231537</v>
      </c>
      <c r="D602">
        <v>2760</v>
      </c>
    </row>
    <row r="603" spans="1:4" x14ac:dyDescent="0.25">
      <c r="A603" t="str">
        <f>T("   290943")</f>
        <v xml:space="preserve">   290943</v>
      </c>
      <c r="B603" t="str">
        <f>T("   Ethers monobutyliques de l'éthylène-glycol ou du diéthylène-glycol")</f>
        <v xml:space="preserve">   Ethers monobutyliques de l'éthylène-glycol ou du diéthylène-glycol</v>
      </c>
      <c r="C603">
        <v>3505450</v>
      </c>
      <c r="D603">
        <v>2268</v>
      </c>
    </row>
    <row r="604" spans="1:4" x14ac:dyDescent="0.25">
      <c r="A604" t="str">
        <f>T("   290944")</f>
        <v xml:space="preserve">   290944</v>
      </c>
      <c r="B604" t="str">
        <f>T("   Ethers monoalkyliques de l'éthylène-glycol ou du diéthylène-glycol (à l'excl. du 2,2'-oxydiéthanol [diéthylène-glycol] ainsi que des éthers monométhyliques ou monobutyliques)")</f>
        <v xml:space="preserve">   Ethers monoalkyliques de l'éthylène-glycol ou du diéthylène-glycol (à l'excl. du 2,2'-oxydiéthanol [diéthylène-glycol] ainsi que des éthers monométhyliques ou monobutyliques)</v>
      </c>
      <c r="C604">
        <v>4593032</v>
      </c>
      <c r="D604">
        <v>1801</v>
      </c>
    </row>
    <row r="605" spans="1:4" x14ac:dyDescent="0.25">
      <c r="A605" t="str">
        <f>T("   291411")</f>
        <v xml:space="preserve">   291411</v>
      </c>
      <c r="B605" t="str">
        <f>T("   Acétone")</f>
        <v xml:space="preserve">   Acétone</v>
      </c>
      <c r="C605">
        <v>3227454</v>
      </c>
      <c r="D605">
        <v>2560</v>
      </c>
    </row>
    <row r="606" spans="1:4" x14ac:dyDescent="0.25">
      <c r="A606" t="str">
        <f>T("   291440")</f>
        <v xml:space="preserve">   291440</v>
      </c>
      <c r="B606" t="str">
        <f>T("   Cétones-alcools et cétones-aldéhydes")</f>
        <v xml:space="preserve">   Cétones-alcools et cétones-aldéhydes</v>
      </c>
      <c r="C606">
        <v>3657633</v>
      </c>
      <c r="D606">
        <v>2950</v>
      </c>
    </row>
    <row r="607" spans="1:4" x14ac:dyDescent="0.25">
      <c r="A607" t="str">
        <f>T("   291531")</f>
        <v xml:space="preserve">   291531</v>
      </c>
      <c r="B607" t="str">
        <f>T("   Acétate d'éthyle")</f>
        <v xml:space="preserve">   Acétate d'éthyle</v>
      </c>
      <c r="C607">
        <v>793712</v>
      </c>
      <c r="D607">
        <v>756</v>
      </c>
    </row>
    <row r="608" spans="1:4" x14ac:dyDescent="0.25">
      <c r="A608" t="str">
        <f>T("   291533")</f>
        <v xml:space="preserve">   291533</v>
      </c>
      <c r="B608" t="str">
        <f>T("   Acétate de n-butyle")</f>
        <v xml:space="preserve">   Acétate de n-butyle</v>
      </c>
      <c r="C608">
        <v>947862</v>
      </c>
      <c r="D608">
        <v>725</v>
      </c>
    </row>
    <row r="609" spans="1:4" x14ac:dyDescent="0.25">
      <c r="A609" t="str">
        <f>T("   291539")</f>
        <v xml:space="preserve">   291539</v>
      </c>
      <c r="B609" t="str">
        <f>T("   Esters de l'acide acétique (à l'excl. des acétates d'éthyle, de vinyle, de n-butyle, d'isobutyle et de 2-éthoxyéthyle)")</f>
        <v xml:space="preserve">   Esters de l'acide acétique (à l'excl. des acétates d'éthyle, de vinyle, de n-butyle, d'isobutyle et de 2-éthoxyéthyle)</v>
      </c>
      <c r="C609">
        <v>6271633</v>
      </c>
      <c r="D609">
        <v>4842</v>
      </c>
    </row>
    <row r="610" spans="1:4" x14ac:dyDescent="0.25">
      <c r="A610" t="str">
        <f>T("   291560")</f>
        <v xml:space="preserve">   291560</v>
      </c>
      <c r="B610" t="str">
        <f>T("   Acides butanoïques, acides pentanoïques, leurs sels et leurs esters")</f>
        <v xml:space="preserve">   Acides butanoïques, acides pentanoïques, leurs sels et leurs esters</v>
      </c>
      <c r="C610">
        <v>4590611</v>
      </c>
      <c r="D610">
        <v>3120</v>
      </c>
    </row>
    <row r="611" spans="1:4" x14ac:dyDescent="0.25">
      <c r="A611" t="str">
        <f>T("   291590")</f>
        <v xml:space="preserve">   291590</v>
      </c>
      <c r="B611" t="s">
        <v>66</v>
      </c>
      <c r="C611">
        <v>3522505</v>
      </c>
      <c r="D611">
        <v>1915</v>
      </c>
    </row>
    <row r="612" spans="1:4" x14ac:dyDescent="0.25">
      <c r="A612" t="str">
        <f>T("   291734")</f>
        <v xml:space="preserve">   291734</v>
      </c>
      <c r="B612" t="str">
        <f>T("   ESTERS DE L'ACIDE ORTHOPHTALIQUE (À L'EXCL. DES ORTHOPHTALATES DE DIOCTYLE, DE DINONYLE OU DE DIDÉCYLE)")</f>
        <v xml:space="preserve">   ESTERS DE L'ACIDE ORTHOPHTALIQUE (À L'EXCL. DES ORTHOPHTALATES DE DIOCTYLE, DE DINONYLE OU DE DIDÉCYLE)</v>
      </c>
      <c r="C612">
        <v>1399065</v>
      </c>
      <c r="D612">
        <v>1018</v>
      </c>
    </row>
    <row r="613" spans="1:4" x14ac:dyDescent="0.25">
      <c r="A613" t="str">
        <f>T("   292241")</f>
        <v xml:space="preserve">   292241</v>
      </c>
      <c r="B613" t="str">
        <f>T("   Lysine et ses esters; sels de ces produits")</f>
        <v xml:space="preserve">   Lysine et ses esters; sels de ces produits</v>
      </c>
      <c r="C613">
        <v>15428181</v>
      </c>
      <c r="D613">
        <v>20685</v>
      </c>
    </row>
    <row r="614" spans="1:4" x14ac:dyDescent="0.25">
      <c r="A614" t="str">
        <f>T("   292310")</f>
        <v xml:space="preserve">   292310</v>
      </c>
      <c r="B614" t="str">
        <f>T("   Choline et ses sels")</f>
        <v xml:space="preserve">   Choline et ses sels</v>
      </c>
      <c r="C614">
        <v>17961498</v>
      </c>
      <c r="D614">
        <v>20126</v>
      </c>
    </row>
    <row r="615" spans="1:4" x14ac:dyDescent="0.25">
      <c r="A615" t="str">
        <f>T("   293040")</f>
        <v xml:space="preserve">   293040</v>
      </c>
      <c r="B615" t="str">
        <f>T("   Méthionine")</f>
        <v xml:space="preserve">   Méthionine</v>
      </c>
      <c r="C615">
        <v>38230662</v>
      </c>
      <c r="D615">
        <v>32225</v>
      </c>
    </row>
    <row r="616" spans="1:4" x14ac:dyDescent="0.25">
      <c r="A616" t="str">
        <f>T("   293090")</f>
        <v xml:space="preserve">   293090</v>
      </c>
      <c r="B616" t="str">
        <f>T("   THIOCOMPOSÉS ORGANIQUES (À L'EXCL. DES THIOCARBAMATES, DES DITHIOCARBAMATES, DES MONO-, DI- OU TÉTRASULFURES DE THIOURAME, DE LA MÉTHIONINE, DU CAPTAFOL [ISO] AINSI QUE DU MÉTHAMIDOPHOS [ISO])")</f>
        <v xml:space="preserve">   THIOCOMPOSÉS ORGANIQUES (À L'EXCL. DES THIOCARBAMATES, DES DITHIOCARBAMATES, DES MONO-, DI- OU TÉTRASULFURES DE THIOURAME, DE LA MÉTHIONINE, DU CAPTAFOL [ISO] AINSI QUE DU MÉTHAMIDOPHOS [ISO])</v>
      </c>
      <c r="C616">
        <v>11039151</v>
      </c>
      <c r="D616">
        <v>23641</v>
      </c>
    </row>
    <row r="617" spans="1:4" x14ac:dyDescent="0.25">
      <c r="A617" t="str">
        <f>T("   293499")</f>
        <v xml:space="preserve">   293499</v>
      </c>
      <c r="B617" t="s">
        <v>71</v>
      </c>
      <c r="C617">
        <v>4738655</v>
      </c>
      <c r="D617">
        <v>425</v>
      </c>
    </row>
    <row r="618" spans="1:4" x14ac:dyDescent="0.25">
      <c r="A618" t="str">
        <f>T("   293621")</f>
        <v xml:space="preserve">   293621</v>
      </c>
      <c r="B618" t="str">
        <f>T("   Vitamines A et leurs dérivés utilisés principalement en tant que vitamines")</f>
        <v xml:space="preserve">   Vitamines A et leurs dérivés utilisés principalement en tant que vitamines</v>
      </c>
      <c r="C618">
        <v>33239723</v>
      </c>
      <c r="D618">
        <v>1135</v>
      </c>
    </row>
    <row r="619" spans="1:4" x14ac:dyDescent="0.25">
      <c r="A619" t="str">
        <f>T("   294190")</f>
        <v xml:space="preserve">   294190</v>
      </c>
      <c r="B619" t="str">
        <f>T("   ANTIBIOTIQUES (À L'EXCL. DES PÉNICILLINES ET DE LEURS DÉRIVÉS À STRUCTURE D'ACIDE PÉNICILLANIQUE, DES STREPTOMYCINES, DES TÉTRACYCLINES, DU CHLORAMPHÉNICOL, DE L'ÉRYÈROMYCINE, DE LEURS DÉRIVÉS ET DES SELS DE TOUS CES PRODUITS)")</f>
        <v xml:space="preserve">   ANTIBIOTIQUES (À L'EXCL. DES PÉNICILLINES ET DE LEURS DÉRIVÉS À STRUCTURE D'ACIDE PÉNICILLANIQUE, DES STREPTOMYCINES, DES TÉTRACYCLINES, DU CHLORAMPHÉNICOL, DE L'ÉRYÈROMYCINE, DE LEURS DÉRIVÉS ET DES SELS DE TOUS CES PRODUITS)</v>
      </c>
      <c r="C619">
        <v>1433273</v>
      </c>
      <c r="D619">
        <v>2018</v>
      </c>
    </row>
    <row r="620" spans="1:4" x14ac:dyDescent="0.25">
      <c r="A620" t="str">
        <f>T("   300339")</f>
        <v xml:space="preserve">   300339</v>
      </c>
      <c r="B620" t="str">
        <f>T("   Médicaments contenant des hormones ou des stéroïdes utilisés comme hormones, mais ne contenant pas d'antibiotiques, non présentés sous forme de doses, ni conditionnés pour la vente au détail (à l'excl. des médicaments contenant de l'insuline)")</f>
        <v xml:space="preserve">   Médicaments contenant des hormones ou des stéroïdes utilisés comme hormones, mais ne contenant pas d'antibiotiques, non présentés sous forme de doses, ni conditionnés pour la vente au détail (à l'excl. des médicaments contenant de l'insuline)</v>
      </c>
      <c r="C620">
        <v>21446142</v>
      </c>
      <c r="D620">
        <v>6609</v>
      </c>
    </row>
    <row r="621" spans="1:4" x14ac:dyDescent="0.25">
      <c r="A621" t="str">
        <f>T("   300410")</f>
        <v xml:space="preserve">   300410</v>
      </c>
      <c r="B621" t="s">
        <v>74</v>
      </c>
      <c r="C621">
        <v>106065</v>
      </c>
      <c r="D621">
        <v>166</v>
      </c>
    </row>
    <row r="622" spans="1:4" x14ac:dyDescent="0.25">
      <c r="A622" t="str">
        <f>T("   300420")</f>
        <v xml:space="preserve">   300420</v>
      </c>
      <c r="B622" t="s">
        <v>75</v>
      </c>
      <c r="C622">
        <v>3056774</v>
      </c>
      <c r="D622">
        <v>198</v>
      </c>
    </row>
    <row r="623" spans="1:4" x14ac:dyDescent="0.25">
      <c r="A623" t="str">
        <f>T("   300439")</f>
        <v xml:space="preserve">   300439</v>
      </c>
      <c r="B623" t="s">
        <v>76</v>
      </c>
      <c r="C623">
        <v>7806580</v>
      </c>
      <c r="D623">
        <v>60</v>
      </c>
    </row>
    <row r="624" spans="1:4" x14ac:dyDescent="0.25">
      <c r="A624" t="str">
        <f>T("   300450")</f>
        <v xml:space="preserve">   300450</v>
      </c>
      <c r="B624" t="s">
        <v>77</v>
      </c>
      <c r="C624">
        <v>6436083</v>
      </c>
      <c r="D624">
        <v>11361</v>
      </c>
    </row>
    <row r="625" spans="1:4" x14ac:dyDescent="0.25">
      <c r="A625" t="str">
        <f>T("   300490")</f>
        <v xml:space="preserve">   300490</v>
      </c>
      <c r="B625" t="s">
        <v>78</v>
      </c>
      <c r="C625">
        <v>2706682808</v>
      </c>
      <c r="D625">
        <v>296581</v>
      </c>
    </row>
    <row r="626" spans="1:4" x14ac:dyDescent="0.25">
      <c r="A626" t="str">
        <f>T("   300590")</f>
        <v xml:space="preserve">   300590</v>
      </c>
      <c r="B626" t="s">
        <v>79</v>
      </c>
      <c r="C626">
        <v>3401003</v>
      </c>
      <c r="D626">
        <v>208</v>
      </c>
    </row>
    <row r="627" spans="1:4" x14ac:dyDescent="0.25">
      <c r="A627" t="str">
        <f>T("   310100")</f>
        <v xml:space="preserve">   310100</v>
      </c>
      <c r="B627" t="s">
        <v>82</v>
      </c>
      <c r="C627">
        <v>707781</v>
      </c>
      <c r="D627">
        <v>225</v>
      </c>
    </row>
    <row r="628" spans="1:4" x14ac:dyDescent="0.25">
      <c r="A628" t="str">
        <f>T("   320413")</f>
        <v xml:space="preserve">   320413</v>
      </c>
      <c r="B628" t="s">
        <v>88</v>
      </c>
      <c r="C628">
        <v>2687469</v>
      </c>
      <c r="D628">
        <v>312</v>
      </c>
    </row>
    <row r="629" spans="1:4" x14ac:dyDescent="0.25">
      <c r="A629" t="str">
        <f>T("   320417")</f>
        <v xml:space="preserve">   320417</v>
      </c>
      <c r="B629" t="s">
        <v>90</v>
      </c>
      <c r="C629">
        <v>11930601</v>
      </c>
      <c r="D629">
        <v>1220</v>
      </c>
    </row>
    <row r="630" spans="1:4" x14ac:dyDescent="0.25">
      <c r="A630" t="str">
        <f>T("   320419")</f>
        <v xml:space="preserve">   320419</v>
      </c>
      <c r="B630" t="s">
        <v>91</v>
      </c>
      <c r="C630">
        <v>10563580</v>
      </c>
      <c r="D630">
        <v>1492</v>
      </c>
    </row>
    <row r="631" spans="1:4" x14ac:dyDescent="0.25">
      <c r="A631" t="str">
        <f>T("   320620")</f>
        <v xml:space="preserve">   320620</v>
      </c>
      <c r="B631" t="s">
        <v>93</v>
      </c>
      <c r="C631">
        <v>10130646</v>
      </c>
      <c r="D631">
        <v>1189</v>
      </c>
    </row>
    <row r="632" spans="1:4" x14ac:dyDescent="0.25">
      <c r="A632" t="str">
        <f>T("   321290")</f>
        <v xml:space="preserve">   321290</v>
      </c>
      <c r="B632" t="s">
        <v>97</v>
      </c>
      <c r="C632">
        <v>4666499</v>
      </c>
      <c r="D632">
        <v>376</v>
      </c>
    </row>
    <row r="633" spans="1:4" x14ac:dyDescent="0.25">
      <c r="A633" t="str">
        <f>T("   321590")</f>
        <v xml:space="preserve">   321590</v>
      </c>
      <c r="B633" t="str">
        <f>T("   Encres à écrire et à dessiner, même concentrées ou sous formes solides")</f>
        <v xml:space="preserve">   Encres à écrire et à dessiner, même concentrées ou sous formes solides</v>
      </c>
      <c r="C633">
        <v>46573</v>
      </c>
      <c r="D633">
        <v>27</v>
      </c>
    </row>
    <row r="634" spans="1:4" x14ac:dyDescent="0.25">
      <c r="A634" t="str">
        <f>T("   330119")</f>
        <v xml:space="preserve">   330119</v>
      </c>
      <c r="B634" t="str">
        <f>T("   HUILES ESSENTIELLES D'AGRUMES, DÉTERPÉNÉES OU NON, Y.C. CELLES DITES 'CONCRÈTES' OU 'ABSOLUES' (À L'EXCL. DES HUILES ESSENTIELLES D'ORANGE, DE CITRONOU DE LIME)")</f>
        <v xml:space="preserve">   HUILES ESSENTIELLES D'AGRUMES, DÉTERPÉNÉES OU NON, Y.C. CELLES DITES 'CONCRÈTES' OU 'ABSOLUES' (À L'EXCL. DES HUILES ESSENTIELLES D'ORANGE, DE CITRONOU DE LIME)</v>
      </c>
      <c r="C634">
        <v>1082334</v>
      </c>
      <c r="D634">
        <v>25.3</v>
      </c>
    </row>
    <row r="635" spans="1:4" x14ac:dyDescent="0.25">
      <c r="A635" t="str">
        <f>T("   330210")</f>
        <v xml:space="preserve">   330210</v>
      </c>
      <c r="B635" t="str">
        <f>T("   Mélanges de substances odoriférantes et mélanges, y.c. les solutions alcooliques, à base d'une ou de plusieurs de ces substances, des types utilisés comme matières de base pour les industries des produits alimentaires et des boissons")</f>
        <v xml:space="preserve">   Mélanges de substances odoriférantes et mélanges, y.c. les solutions alcooliques, à base d'une ou de plusieurs de ces substances, des types utilisés comme matières de base pour les industries des produits alimentaires et des boissons</v>
      </c>
      <c r="C635">
        <v>275103721</v>
      </c>
      <c r="D635">
        <v>45072</v>
      </c>
    </row>
    <row r="636" spans="1:4" x14ac:dyDescent="0.25">
      <c r="A636" t="str">
        <f>T("   330300")</f>
        <v xml:space="preserve">   330300</v>
      </c>
      <c r="B636" t="str">
        <f>T("   Parfums et eaux de toilette (à l'excl. des préparations pour l'après-rasage [lotions after-shave] et des désodorisants corporels)")</f>
        <v xml:space="preserve">   Parfums et eaux de toilette (à l'excl. des préparations pour l'après-rasage [lotions after-shave] et des désodorisants corporels)</v>
      </c>
      <c r="C636">
        <v>48943800</v>
      </c>
      <c r="D636">
        <v>2845</v>
      </c>
    </row>
    <row r="637" spans="1:4" x14ac:dyDescent="0.25">
      <c r="A637" t="str">
        <f>T("   330499")</f>
        <v xml:space="preserve">   330499</v>
      </c>
      <c r="B637" t="s">
        <v>100</v>
      </c>
      <c r="C637">
        <v>27589021</v>
      </c>
      <c r="D637">
        <v>18859</v>
      </c>
    </row>
    <row r="638" spans="1:4" x14ac:dyDescent="0.25">
      <c r="A638" t="str">
        <f>T("   330510")</f>
        <v xml:space="preserve">   330510</v>
      </c>
      <c r="B638" t="str">
        <f>T("   Shampooings")</f>
        <v xml:space="preserve">   Shampooings</v>
      </c>
      <c r="C638">
        <v>1396085</v>
      </c>
      <c r="D638">
        <v>4520</v>
      </c>
    </row>
    <row r="639" spans="1:4" x14ac:dyDescent="0.25">
      <c r="A639" t="str">
        <f>T("   330590")</f>
        <v xml:space="preserve">   330590</v>
      </c>
      <c r="B639" t="str">
        <f>T("   PRÉPARATIONS CAPILLAIRES (À L'EXCL. DES SHAMPOOINGS, DES LAQUES POUR CHEVEUX ET DES PRÉPARATIONS POUR L'ONDULATION OU LE DÉFRISAGE PERMANENTS)")</f>
        <v xml:space="preserve">   PRÉPARATIONS CAPILLAIRES (À L'EXCL. DES SHAMPOOINGS, DES LAQUES POUR CHEVEUX ET DES PRÉPARATIONS POUR L'ONDULATION OU LE DÉFRISAGE PERMANENTS)</v>
      </c>
      <c r="C639">
        <v>1000339</v>
      </c>
      <c r="D639">
        <v>306</v>
      </c>
    </row>
    <row r="640" spans="1:4" x14ac:dyDescent="0.25">
      <c r="A640" t="str">
        <f>T("   330610")</f>
        <v xml:space="preserve">   330610</v>
      </c>
      <c r="B640" t="str">
        <f>T("   Dentifrices, préparés, même des types utilisés par les dentistes")</f>
        <v xml:space="preserve">   Dentifrices, préparés, même des types utilisés par les dentistes</v>
      </c>
      <c r="C640">
        <v>36367084</v>
      </c>
      <c r="D640">
        <v>12441</v>
      </c>
    </row>
    <row r="641" spans="1:4" x14ac:dyDescent="0.25">
      <c r="A641" t="str">
        <f>T("   330720")</f>
        <v xml:space="preserve">   330720</v>
      </c>
      <c r="B641" t="str">
        <f>T("   Désodorisants corporels et antisudoraux, préparés")</f>
        <v xml:space="preserve">   Désodorisants corporels et antisudoraux, préparés</v>
      </c>
      <c r="C641">
        <v>7832550</v>
      </c>
      <c r="D641">
        <v>2674</v>
      </c>
    </row>
    <row r="642" spans="1:4" x14ac:dyDescent="0.25">
      <c r="A642" t="str">
        <f>T("   330749")</f>
        <v xml:space="preserve">   330749</v>
      </c>
      <c r="B642" t="str">
        <f>T("   Préparations pour parfumer ou pour désodoriser les locaux, y.c. les préparations odoriférantes pour cérémonies religieuses (à l'excl. de l'agarbatti et des autres préparations odoriférantes agissant par combustion)")</f>
        <v xml:space="preserve">   Préparations pour parfumer ou pour désodoriser les locaux, y.c. les préparations odoriférantes pour cérémonies religieuses (à l'excl. de l'agarbatti et des autres préparations odoriférantes agissant par combustion)</v>
      </c>
      <c r="C642">
        <v>1271907</v>
      </c>
      <c r="D642">
        <v>1642</v>
      </c>
    </row>
    <row r="643" spans="1:4" x14ac:dyDescent="0.25">
      <c r="A643" t="str">
        <f>T("   340111")</f>
        <v xml:space="preserve">   340111</v>
      </c>
      <c r="B643" t="s">
        <v>101</v>
      </c>
      <c r="C643">
        <v>3725400</v>
      </c>
      <c r="D643">
        <v>534</v>
      </c>
    </row>
    <row r="644" spans="1:4" x14ac:dyDescent="0.25">
      <c r="A644" t="str">
        <f>T("   340130")</f>
        <v xml:space="preserve">   340130</v>
      </c>
      <c r="B644" t="str">
        <f>T("   Produits et préparations organiques tensio-actifs destinés au lavage de la peau, sous forme de liquide ou de crème, conditionnés pour la vente au détail, même contenant  du savon")</f>
        <v xml:space="preserve">   Produits et préparations organiques tensio-actifs destinés au lavage de la peau, sous forme de liquide ou de crème, conditionnés pour la vente au détail, même contenant  du savon</v>
      </c>
      <c r="C644">
        <v>4355474</v>
      </c>
      <c r="D644">
        <v>3491</v>
      </c>
    </row>
    <row r="645" spans="1:4" x14ac:dyDescent="0.25">
      <c r="A645" t="str">
        <f>T("   340220")</f>
        <v xml:space="preserve">   340220</v>
      </c>
      <c r="B645" t="s">
        <v>103</v>
      </c>
      <c r="C645">
        <v>18885528</v>
      </c>
      <c r="D645">
        <v>34747</v>
      </c>
    </row>
    <row r="646" spans="1:4" x14ac:dyDescent="0.25">
      <c r="A646" t="str">
        <f>T("   340290")</f>
        <v xml:space="preserve">   340290</v>
      </c>
      <c r="B646" t="s">
        <v>104</v>
      </c>
      <c r="C646">
        <v>371596092</v>
      </c>
      <c r="D646">
        <v>193327</v>
      </c>
    </row>
    <row r="647" spans="1:4" x14ac:dyDescent="0.25">
      <c r="A647" t="str">
        <f>T("   340319")</f>
        <v xml:space="preserve">   340319</v>
      </c>
      <c r="B647" t="s">
        <v>105</v>
      </c>
      <c r="C647">
        <v>989843</v>
      </c>
      <c r="D647">
        <v>244</v>
      </c>
    </row>
    <row r="648" spans="1:4" x14ac:dyDescent="0.25">
      <c r="A648" t="str">
        <f>T("   340399")</f>
        <v xml:space="preserve">   340399</v>
      </c>
      <c r="B648" t="s">
        <v>106</v>
      </c>
      <c r="C648">
        <v>135836</v>
      </c>
      <c r="D648">
        <v>3</v>
      </c>
    </row>
    <row r="649" spans="1:4" x14ac:dyDescent="0.25">
      <c r="A649" t="str">
        <f>T("   340490")</f>
        <v xml:space="preserve">   340490</v>
      </c>
      <c r="B649" t="s">
        <v>107</v>
      </c>
      <c r="C649">
        <v>1919995</v>
      </c>
      <c r="D649">
        <v>1000</v>
      </c>
    </row>
    <row r="650" spans="1:4" x14ac:dyDescent="0.25">
      <c r="A650" t="str">
        <f>T("   340540")</f>
        <v xml:space="preserve">   340540</v>
      </c>
      <c r="B650" t="str">
        <f>T("   Pâtes, poudres et autres préparations à récurer, même sous forme de papier, ouates, feutres, nontissés, matière plastique ou caoutchouc alvéolaires, imprégnés, enduits ou recouverts de ces préparations")</f>
        <v xml:space="preserve">   Pâtes, poudres et autres préparations à récurer, même sous forme de papier, ouates, feutres, nontissés, matière plastique ou caoutchouc alvéolaires, imprégnés, enduits ou recouverts de ces préparations</v>
      </c>
      <c r="C650">
        <v>4661833</v>
      </c>
      <c r="D650">
        <v>8098</v>
      </c>
    </row>
    <row r="651" spans="1:4" x14ac:dyDescent="0.25">
      <c r="A651" t="str">
        <f>T("   340590")</f>
        <v xml:space="preserve">   340590</v>
      </c>
      <c r="B651" t="str">
        <f>T("   Brillants pour verre ou métaux, même sous forme de papier, ouates, feutres, nontissés, matière plastique ou caoutchouc alvéolaires, imprégnés, enduits ou recouverts de ces préparations")</f>
        <v xml:space="preserve">   Brillants pour verre ou métaux, même sous forme de papier, ouates, feutres, nontissés, matière plastique ou caoutchouc alvéolaires, imprégnés, enduits ou recouverts de ces préparations</v>
      </c>
      <c r="C651">
        <v>516897</v>
      </c>
      <c r="D651">
        <v>332</v>
      </c>
    </row>
    <row r="652" spans="1:4" x14ac:dyDescent="0.25">
      <c r="A652" t="str">
        <f>T("   340600")</f>
        <v xml:space="preserve">   340600</v>
      </c>
      <c r="B652" t="str">
        <f>T("   Bougies, chandelles, cierges et articles simil.")</f>
        <v xml:space="preserve">   Bougies, chandelles, cierges et articles simil.</v>
      </c>
      <c r="C652">
        <v>1049536</v>
      </c>
      <c r="D652">
        <v>435</v>
      </c>
    </row>
    <row r="653" spans="1:4" x14ac:dyDescent="0.25">
      <c r="A653" t="str">
        <f>T("   350510")</f>
        <v xml:space="preserve">   350510</v>
      </c>
      <c r="B653" t="str">
        <f>T("   DEXTRINE ET AUTRES AMIDONS ET FÉCULES MODIFIÉS [LES AMIDONS ET FÉCULES PRÉ-GÉLATINISÉS OU ESTÉRIFIÉS, P.EX.]")</f>
        <v xml:space="preserve">   DEXTRINE ET AUTRES AMIDONS ET FÉCULES MODIFIÉS [LES AMIDONS ET FÉCULES PRÉ-GÉLATINISÉS OU ESTÉRIFIÉS, P.EX.]</v>
      </c>
      <c r="C653">
        <v>2071522</v>
      </c>
      <c r="D653">
        <v>1</v>
      </c>
    </row>
    <row r="654" spans="1:4" x14ac:dyDescent="0.25">
      <c r="A654" t="str">
        <f>T("   350610")</f>
        <v xml:space="preserve">   350610</v>
      </c>
      <c r="B654" t="str">
        <f>T("   Produits de toute espèce à usage de colles ou d'adhésifs, conditionnés pour la vente au détail comme colles ou adhésifs, d'un poids net &lt;= 1 kg")</f>
        <v xml:space="preserve">   Produits de toute espèce à usage de colles ou d'adhésifs, conditionnés pour la vente au détail comme colles ou adhésifs, d'un poids net &lt;= 1 kg</v>
      </c>
      <c r="C654">
        <v>1388871</v>
      </c>
      <c r="D654">
        <v>522</v>
      </c>
    </row>
    <row r="655" spans="1:4" x14ac:dyDescent="0.25">
      <c r="A655" t="str">
        <f>T("   350691")</f>
        <v xml:space="preserve">   350691</v>
      </c>
      <c r="B655" t="str">
        <f>T("   Adhésifs à base de polymères du n° 3901 à 3913 ou de caoutchouc (à l'excl. des produits conditionnés pour la vente au détail comme colles ou adhésifs, d'un poids net &lt;= 1 kg)")</f>
        <v xml:space="preserve">   Adhésifs à base de polymères du n° 3901 à 3913 ou de caoutchouc (à l'excl. des produits conditionnés pour la vente au détail comme colles ou adhésifs, d'un poids net &lt;= 1 kg)</v>
      </c>
      <c r="C655">
        <v>221714</v>
      </c>
      <c r="D655">
        <v>200</v>
      </c>
    </row>
    <row r="656" spans="1:4" x14ac:dyDescent="0.25">
      <c r="A656" t="str">
        <f>T("   370191")</f>
        <v xml:space="preserve">   370191</v>
      </c>
      <c r="B656" t="s">
        <v>112</v>
      </c>
      <c r="C656">
        <v>3047531</v>
      </c>
      <c r="D656">
        <v>1369</v>
      </c>
    </row>
    <row r="657" spans="1:4" x14ac:dyDescent="0.25">
      <c r="A657" t="str">
        <f>T("   370239")</f>
        <v xml:space="preserve">   370239</v>
      </c>
      <c r="B657" t="s">
        <v>114</v>
      </c>
      <c r="C657">
        <v>450000</v>
      </c>
      <c r="D657">
        <v>6513</v>
      </c>
    </row>
    <row r="658" spans="1:4" x14ac:dyDescent="0.25">
      <c r="A658" t="str">
        <f>T("   370244")</f>
        <v xml:space="preserve">   370244</v>
      </c>
      <c r="B658" t="str">
        <f>T("   Pellicules photographiques sensibilisées, non impressionnées, non perforées, en rouleaux, d'une largeur &gt; 105 mm mais &lt;= 610 mm (à l'excl. des produits en papier, en carton ou en matières textiles)")</f>
        <v xml:space="preserve">   Pellicules photographiques sensibilisées, non impressionnées, non perforées, en rouleaux, d'une largeur &gt; 105 mm mais &lt;= 610 mm (à l'excl. des produits en papier, en carton ou en matières textiles)</v>
      </c>
      <c r="C658">
        <v>7148600</v>
      </c>
      <c r="D658">
        <v>317</v>
      </c>
    </row>
    <row r="659" spans="1:4" x14ac:dyDescent="0.25">
      <c r="A659" t="str">
        <f>T("   370590")</f>
        <v xml:space="preserve">   370590</v>
      </c>
      <c r="B659" t="str">
        <f>T("   PLAQUES ET PELLICULES, PHOTOGRAPHIQUES, IMPRESSIONNÉES ET DÉVELOPPÉES (À L'EXCL. DES FILMS CINÉMATOGRAPHIQUES, DES PELLICULES POUR LA REPRODUCTION OFFSET AINSI QUE DES PRODUITS EN PAPIER, EN CARTON OU EN MATIÈRES TEXTILES)")</f>
        <v xml:space="preserve">   PLAQUES ET PELLICULES, PHOTOGRAPHIQUES, IMPRESSIONNÉES ET DÉVELOPPÉES (À L'EXCL. DES FILMS CINÉMATOGRAPHIQUES, DES PELLICULES POUR LA REPRODUCTION OFFSET AINSI QUE DES PRODUITS EN PAPIER, EN CARTON OU EN MATIÈRES TEXTILES)</v>
      </c>
      <c r="C659">
        <v>1168573</v>
      </c>
      <c r="D659">
        <v>301</v>
      </c>
    </row>
    <row r="660" spans="1:4" x14ac:dyDescent="0.25">
      <c r="A660" t="str">
        <f>T("   370790")</f>
        <v xml:space="preserve">   370790</v>
      </c>
      <c r="B660" t="s">
        <v>117</v>
      </c>
      <c r="C660">
        <v>4531619</v>
      </c>
      <c r="D660">
        <v>8040</v>
      </c>
    </row>
    <row r="661" spans="1:4" x14ac:dyDescent="0.25">
      <c r="A661" t="str">
        <f>T("   380510")</f>
        <v xml:space="preserve">   380510</v>
      </c>
      <c r="B661" t="str">
        <f>T("   Essences de térébenthine, de bois de pin ou de papeterie au sulfate")</f>
        <v xml:space="preserve">   Essences de térébenthine, de bois de pin ou de papeterie au sulfate</v>
      </c>
      <c r="C661">
        <v>1496901</v>
      </c>
      <c r="D661">
        <v>358</v>
      </c>
    </row>
    <row r="662" spans="1:4" x14ac:dyDescent="0.25">
      <c r="A662" t="str">
        <f>T("   380810")</f>
        <v xml:space="preserve">   380810</v>
      </c>
      <c r="B662" t="str">
        <f>T("   Insecticides présentés dans des formes ou emballages de vente au détail ou à l'état de préparations ou sous forme d'articles")</f>
        <v xml:space="preserve">   Insecticides présentés dans des formes ou emballages de vente au détail ou à l'état de préparations ou sous forme d'articles</v>
      </c>
      <c r="C662">
        <v>1770222</v>
      </c>
      <c r="D662">
        <v>465</v>
      </c>
    </row>
    <row r="663" spans="1:4" x14ac:dyDescent="0.25">
      <c r="A663" t="str">
        <f>T("   380890")</f>
        <v xml:space="preserve">   380890</v>
      </c>
      <c r="B663" t="str">
        <f>T("   Antirongeurs et autres produits phytosanitaires, présentés dans des formes ou emballages de vente au détail ou à l'état de préparations ou sous forme d'articles (à l'excl. des insecticides, des fongicides, des herbicides et des désinfectants)")</f>
        <v xml:space="preserve">   Antirongeurs et autres produits phytosanitaires, présentés dans des formes ou emballages de vente au détail ou à l'état de préparations ou sous forme d'articles (à l'excl. des insecticides, des fongicides, des herbicides et des désinfectants)</v>
      </c>
      <c r="C663">
        <v>3144673</v>
      </c>
      <c r="D663">
        <v>6204</v>
      </c>
    </row>
    <row r="664" spans="1:4" x14ac:dyDescent="0.25">
      <c r="A664" t="str">
        <f>T("   380991")</f>
        <v xml:space="preserve">   380991</v>
      </c>
      <c r="B664" t="s">
        <v>120</v>
      </c>
      <c r="C664">
        <v>795584</v>
      </c>
      <c r="D664">
        <v>1880</v>
      </c>
    </row>
    <row r="665" spans="1:4" x14ac:dyDescent="0.25">
      <c r="A665" t="str">
        <f>T("   381190")</f>
        <v xml:space="preserve">   381190</v>
      </c>
      <c r="B665" t="s">
        <v>123</v>
      </c>
      <c r="C665">
        <v>10036649</v>
      </c>
      <c r="D665">
        <v>1196</v>
      </c>
    </row>
    <row r="666" spans="1:4" x14ac:dyDescent="0.25">
      <c r="A666" t="str">
        <f>T("   381400")</f>
        <v xml:space="preserve">   381400</v>
      </c>
      <c r="B666" t="str">
        <f>T("   Solvants et diluants organiques composites, n.d.a.; préparations conçues pour enlever les peintures ou les vernis (à l'excl. des dissolvants pour vernis à ongles)")</f>
        <v xml:space="preserve">   Solvants et diluants organiques composites, n.d.a.; préparations conçues pour enlever les peintures ou les vernis (à l'excl. des dissolvants pour vernis à ongles)</v>
      </c>
      <c r="C666">
        <v>40760043</v>
      </c>
      <c r="D666">
        <v>80972</v>
      </c>
    </row>
    <row r="667" spans="1:4" x14ac:dyDescent="0.25">
      <c r="A667" t="str">
        <f>T("   381900")</f>
        <v xml:space="preserve">   381900</v>
      </c>
      <c r="B667" t="str">
        <f>T("   Liquides pour freins hydrauliques et autres liquides préparés pour transmissions hydrauliques, ne contenant ni huiles de pétrole ni huiles de minéraux bitumineux ou en contenant &lt; 70% en poids")</f>
        <v xml:space="preserve">   Liquides pour freins hydrauliques et autres liquides préparés pour transmissions hydrauliques, ne contenant ni huiles de pétrole ni huiles de minéraux bitumineux ou en contenant &lt; 70% en poids</v>
      </c>
      <c r="C667">
        <v>22124638</v>
      </c>
      <c r="D667">
        <v>15419</v>
      </c>
    </row>
    <row r="668" spans="1:4" x14ac:dyDescent="0.25">
      <c r="A668" t="str">
        <f>T("   382000")</f>
        <v xml:space="preserve">   382000</v>
      </c>
      <c r="B668" t="str">
        <f>T("   Préparations antigel et liquides préparés pour dégivrage (à l'excl. des additifs préparés pour huiles minérales ou pour autres liquides utilisés aux mêmes fins que les huiles minérales)")</f>
        <v xml:space="preserve">   Préparations antigel et liquides préparés pour dégivrage (à l'excl. des additifs préparés pour huiles minérales ou pour autres liquides utilisés aux mêmes fins que les huiles minérales)</v>
      </c>
      <c r="C668">
        <v>182991</v>
      </c>
      <c r="D668">
        <v>15</v>
      </c>
    </row>
    <row r="669" spans="1:4" x14ac:dyDescent="0.25">
      <c r="A669" t="str">
        <f>T("   382200")</f>
        <v xml:space="preserve">   382200</v>
      </c>
      <c r="B669" t="s">
        <v>125</v>
      </c>
      <c r="C669">
        <v>3233647</v>
      </c>
      <c r="D669">
        <v>1427</v>
      </c>
    </row>
    <row r="670" spans="1:4" x14ac:dyDescent="0.25">
      <c r="A670" t="str">
        <f>T("   382490")</f>
        <v xml:space="preserve">   382490</v>
      </c>
      <c r="B670" t="str">
        <f>T("   Produits chimiques et préparations des industries chimiques ou des industries connexes, y.c. celles consistant en mélanges de produits naturels, n.d.a.")</f>
        <v xml:space="preserve">   Produits chimiques et préparations des industries chimiques ou des industries connexes, y.c. celles consistant en mélanges de produits naturels, n.d.a.</v>
      </c>
      <c r="C670">
        <v>5332956</v>
      </c>
      <c r="D670">
        <v>2583</v>
      </c>
    </row>
    <row r="671" spans="1:4" x14ac:dyDescent="0.25">
      <c r="A671" t="str">
        <f>T("   390390")</f>
        <v xml:space="preserve">   390390</v>
      </c>
      <c r="B671" t="str">
        <f>T("   Polymères du styrène, sous formes primaires (à l'excl. du polystyrène ainsi que des copolymères de styrène-acrylonitrile [SAN] ou d'acrylonitrile-butadiène-styrène [ABS])")</f>
        <v xml:space="preserve">   Polymères du styrène, sous formes primaires (à l'excl. du polystyrène ainsi que des copolymères de styrène-acrylonitrile [SAN] ou d'acrylonitrile-butadiène-styrène [ABS])</v>
      </c>
      <c r="C671">
        <v>9180160</v>
      </c>
      <c r="D671">
        <v>935</v>
      </c>
    </row>
    <row r="672" spans="1:4" x14ac:dyDescent="0.25">
      <c r="A672" t="str">
        <f>T("   390599")</f>
        <v xml:space="preserve">   390599</v>
      </c>
      <c r="B672" t="s">
        <v>126</v>
      </c>
      <c r="C672">
        <v>11375658</v>
      </c>
      <c r="D672">
        <v>4695</v>
      </c>
    </row>
    <row r="673" spans="1:4" x14ac:dyDescent="0.25">
      <c r="A673" t="str">
        <f>T("   390690")</f>
        <v xml:space="preserve">   390690</v>
      </c>
      <c r="B673" t="str">
        <f>T("   Polymères acryliques, sous formes primaires (à l'excl. du poly[méthacrylate de méthyle])")</f>
        <v xml:space="preserve">   Polymères acryliques, sous formes primaires (à l'excl. du poly[méthacrylate de méthyle])</v>
      </c>
      <c r="C673">
        <v>18715194</v>
      </c>
      <c r="D673">
        <v>6795</v>
      </c>
    </row>
    <row r="674" spans="1:4" x14ac:dyDescent="0.25">
      <c r="A674" t="str">
        <f>T("   390750")</f>
        <v xml:space="preserve">   390750</v>
      </c>
      <c r="B674" t="str">
        <f>T("   Résines alkydes, sous formes primaires")</f>
        <v xml:space="preserve">   Résines alkydes, sous formes primaires</v>
      </c>
      <c r="C674">
        <v>8394320</v>
      </c>
      <c r="D674">
        <v>5150</v>
      </c>
    </row>
    <row r="675" spans="1:4" x14ac:dyDescent="0.25">
      <c r="A675" t="str">
        <f>T("   390799")</f>
        <v xml:space="preserve">   390799</v>
      </c>
      <c r="B675" t="str">
        <f>T("   POLYESTERS, SATURÉS, SOUS FORMES PRIMAIRES (À L'EXCL. DES POLYCARBONATES, DES RÉSINES ALKYDES ET DU POLY[ÉTHYLÈNE TÉRÉPHTALATE]) [01/01/1988-31/12/1993: POLYESTERS ALLYLIQUES ET AUTRES POLYESTERS, SATURÉS, SOUS FORMES PRIMAIRES]")</f>
        <v xml:space="preserve">   POLYESTERS, SATURÉS, SOUS FORMES PRIMAIRES (À L'EXCL. DES POLYCARBONATES, DES RÉSINES ALKYDES ET DU POLY[ÉTHYLÈNE TÉRÉPHTALATE]) [01/01/1988-31/12/1993: POLYESTERS ALLYLIQUES ET AUTRES POLYESTERS, SATURÉS, SOUS FORMES PRIMAIRES]</v>
      </c>
      <c r="C675">
        <v>33806867</v>
      </c>
      <c r="D675">
        <v>20868</v>
      </c>
    </row>
    <row r="676" spans="1:4" x14ac:dyDescent="0.25">
      <c r="A676" t="str">
        <f>T("   391220")</f>
        <v xml:space="preserve">   391220</v>
      </c>
      <c r="B676" t="str">
        <f>T("   Nitrates de cellulose, y.c. les collodions, sous formes primaires")</f>
        <v xml:space="preserve">   Nitrates de cellulose, y.c. les collodions, sous formes primaires</v>
      </c>
      <c r="C676">
        <v>1923274</v>
      </c>
      <c r="D676">
        <v>758</v>
      </c>
    </row>
    <row r="677" spans="1:4" x14ac:dyDescent="0.25">
      <c r="A677" t="str">
        <f>T("   391239")</f>
        <v xml:space="preserve">   391239</v>
      </c>
      <c r="B677" t="str">
        <f>T("   ÉTHERS DE CELLULOSE, SOUS FORMES PRIMAIRES (À L'EXCL. DE LA CARBOXYMÉTHYLCELLULOSE ET DE SES SELS)")</f>
        <v xml:space="preserve">   ÉTHERS DE CELLULOSE, SOUS FORMES PRIMAIRES (À L'EXCL. DE LA CARBOXYMÉTHYLCELLULOSE ET DE SES SELS)</v>
      </c>
      <c r="C677">
        <v>66042709</v>
      </c>
      <c r="D677">
        <v>11345</v>
      </c>
    </row>
    <row r="678" spans="1:4" x14ac:dyDescent="0.25">
      <c r="A678" t="str">
        <f>T("   391690")</f>
        <v xml:space="preserve">   391690</v>
      </c>
      <c r="B678" t="s">
        <v>127</v>
      </c>
      <c r="C678">
        <v>321197</v>
      </c>
      <c r="D678">
        <v>144</v>
      </c>
    </row>
    <row r="679" spans="1:4" x14ac:dyDescent="0.25">
      <c r="A679" t="str">
        <f>T("   391739")</f>
        <v xml:space="preserve">   391739</v>
      </c>
      <c r="B679" t="str">
        <f>T("   TUBES ET TUYAUX SOUPLES, EN MATIÈRES PLASTIQUES, RENFORCÉS D'AUTRES MATIÈRES OU ASSOCIÉS À D'AUTRES MATIÈRES (À L'EXCL. DES PRODUITS POUVANT SUPPORTER UNE PRESSION &gt;= 27,6 MPA)")</f>
        <v xml:space="preserve">   TUBES ET TUYAUX SOUPLES, EN MATIÈRES PLASTIQUES, RENFORCÉS D'AUTRES MATIÈRES OU ASSOCIÉS À D'AUTRES MATIÈRES (À L'EXCL. DES PRODUITS POUVANT SUPPORTER UNE PRESSION &gt;= 27,6 MPA)</v>
      </c>
      <c r="C679">
        <v>358810</v>
      </c>
      <c r="D679">
        <v>24</v>
      </c>
    </row>
    <row r="680" spans="1:4" x14ac:dyDescent="0.25">
      <c r="A680" t="str">
        <f>T("   391740")</f>
        <v xml:space="preserve">   391740</v>
      </c>
      <c r="B680" t="str">
        <f>T("   Accessoires pour tubes ou tuyaux [joints, coudes, raccords, par exemple], en matières plastiques")</f>
        <v xml:space="preserve">   Accessoires pour tubes ou tuyaux [joints, coudes, raccords, par exemple], en matières plastiques</v>
      </c>
      <c r="C680">
        <v>65596</v>
      </c>
      <c r="D680">
        <v>500</v>
      </c>
    </row>
    <row r="681" spans="1:4" x14ac:dyDescent="0.25">
      <c r="A681" t="str">
        <f>T("   391890")</f>
        <v xml:space="preserve">   391890</v>
      </c>
      <c r="B681" t="s">
        <v>129</v>
      </c>
      <c r="C681">
        <v>12749504</v>
      </c>
      <c r="D681">
        <v>18914</v>
      </c>
    </row>
    <row r="682" spans="1:4" x14ac:dyDescent="0.25">
      <c r="A682" t="str">
        <f>T("   392010")</f>
        <v xml:space="preserve">   392010</v>
      </c>
      <c r="B682" t="s">
        <v>131</v>
      </c>
      <c r="C682">
        <v>1061343</v>
      </c>
      <c r="D682">
        <v>406</v>
      </c>
    </row>
    <row r="683" spans="1:4" x14ac:dyDescent="0.25">
      <c r="A683" t="str">
        <f>T("   392043")</f>
        <v xml:space="preserve">   392043</v>
      </c>
      <c r="B683" t="s">
        <v>133</v>
      </c>
      <c r="C683">
        <v>205971</v>
      </c>
      <c r="D683">
        <v>100</v>
      </c>
    </row>
    <row r="684" spans="1:4" x14ac:dyDescent="0.25">
      <c r="A684" t="str">
        <f>T("   392099")</f>
        <v xml:space="preserve">   392099</v>
      </c>
      <c r="B684" t="s">
        <v>139</v>
      </c>
      <c r="C684">
        <v>188261</v>
      </c>
      <c r="D684">
        <v>1000</v>
      </c>
    </row>
    <row r="685" spans="1:4" x14ac:dyDescent="0.25">
      <c r="A685" t="str">
        <f>T("   392111")</f>
        <v xml:space="preserve">   392111</v>
      </c>
      <c r="B685" t="s">
        <v>140</v>
      </c>
      <c r="C685">
        <v>6436116</v>
      </c>
      <c r="D685">
        <v>2435</v>
      </c>
    </row>
    <row r="686" spans="1:4" x14ac:dyDescent="0.25">
      <c r="A686" t="str">
        <f>T("   392190")</f>
        <v xml:space="preserve">   392190</v>
      </c>
      <c r="B686" t="s">
        <v>143</v>
      </c>
      <c r="C686">
        <v>19165839</v>
      </c>
      <c r="D686">
        <v>7196</v>
      </c>
    </row>
    <row r="687" spans="1:4" x14ac:dyDescent="0.25">
      <c r="A687" t="str">
        <f>T("   392310")</f>
        <v xml:space="preserve">   392310</v>
      </c>
      <c r="B687" t="str">
        <f>T("   Boîtes, caisses, casiers et articles simil. pour le transport ou l'emballage, en matières plastiques")</f>
        <v xml:space="preserve">   Boîtes, caisses, casiers et articles simil. pour le transport ou l'emballage, en matières plastiques</v>
      </c>
      <c r="C687">
        <v>37365</v>
      </c>
      <c r="D687">
        <v>167</v>
      </c>
    </row>
    <row r="688" spans="1:4" x14ac:dyDescent="0.25">
      <c r="A688" t="str">
        <f>T("   392321")</f>
        <v xml:space="preserve">   392321</v>
      </c>
      <c r="B688" t="str">
        <f>T("   Sacs, sachets, pochettes et cornets, en polymères de l'éthylène")</f>
        <v xml:space="preserve">   Sacs, sachets, pochettes et cornets, en polymères de l'éthylène</v>
      </c>
      <c r="C688">
        <v>7297556</v>
      </c>
      <c r="D688">
        <v>3172</v>
      </c>
    </row>
    <row r="689" spans="1:4" x14ac:dyDescent="0.25">
      <c r="A689" t="str">
        <f>T("   392330")</f>
        <v xml:space="preserve">   392330</v>
      </c>
      <c r="B689" t="str">
        <f>T("   Bonbonnes, bouteilles, flacons et articles simil. pour le transport ou l'emballage, en matières plastiques")</f>
        <v xml:space="preserve">   Bonbonnes, bouteilles, flacons et articles simil. pour le transport ou l'emballage, en matières plastiques</v>
      </c>
      <c r="C689">
        <v>1088238</v>
      </c>
      <c r="D689">
        <v>220</v>
      </c>
    </row>
    <row r="690" spans="1:4" x14ac:dyDescent="0.25">
      <c r="A690" t="str">
        <f>T("   392350")</f>
        <v xml:space="preserve">   392350</v>
      </c>
      <c r="B690" t="str">
        <f>T("   Bouchons, couvercles, capsules et autres dispositifs de fermeture, en matières plastiques")</f>
        <v xml:space="preserve">   Bouchons, couvercles, capsules et autres dispositifs de fermeture, en matières plastiques</v>
      </c>
      <c r="C690">
        <v>2713843</v>
      </c>
      <c r="D690">
        <v>12463</v>
      </c>
    </row>
    <row r="691" spans="1:4" x14ac:dyDescent="0.25">
      <c r="A691" t="str">
        <f>T("   392390")</f>
        <v xml:space="preserve">   392390</v>
      </c>
      <c r="B691" t="s">
        <v>144</v>
      </c>
      <c r="C691">
        <v>17244269</v>
      </c>
      <c r="D691">
        <v>6350</v>
      </c>
    </row>
    <row r="692" spans="1:4" x14ac:dyDescent="0.25">
      <c r="A692" t="str">
        <f>T("   392410")</f>
        <v xml:space="preserve">   392410</v>
      </c>
      <c r="B692" t="str">
        <f>T("   Vaisselle et autres articles pour le service de la table ou de la cuisine, en matières plastiques")</f>
        <v xml:space="preserve">   Vaisselle et autres articles pour le service de la table ou de la cuisine, en matières plastiques</v>
      </c>
      <c r="C692">
        <v>2110880</v>
      </c>
      <c r="D692">
        <v>388</v>
      </c>
    </row>
    <row r="693" spans="1:4" x14ac:dyDescent="0.25">
      <c r="A693" t="str">
        <f>T("   392490")</f>
        <v xml:space="preserve">   392490</v>
      </c>
      <c r="B693" t="s">
        <v>145</v>
      </c>
      <c r="C693">
        <v>47950930</v>
      </c>
      <c r="D693">
        <v>75847</v>
      </c>
    </row>
    <row r="694" spans="1:4" x14ac:dyDescent="0.25">
      <c r="A694" t="str">
        <f>T("   392590")</f>
        <v xml:space="preserve">   392590</v>
      </c>
      <c r="B694" t="s">
        <v>146</v>
      </c>
      <c r="C694">
        <v>4588290</v>
      </c>
      <c r="D694">
        <v>1773</v>
      </c>
    </row>
    <row r="695" spans="1:4" x14ac:dyDescent="0.25">
      <c r="A695" t="str">
        <f>T("   392690")</f>
        <v xml:space="preserve">   392690</v>
      </c>
      <c r="B695" t="str">
        <f>T("   Ouvrages en matières plastiques et ouvrages en autres matières du n° 3901 à 3914, n.d.a.")</f>
        <v xml:space="preserve">   Ouvrages en matières plastiques et ouvrages en autres matières du n° 3901 à 3914, n.d.a.</v>
      </c>
      <c r="C695">
        <v>12752857</v>
      </c>
      <c r="D695">
        <v>6058.1</v>
      </c>
    </row>
    <row r="696" spans="1:4" x14ac:dyDescent="0.25">
      <c r="A696" t="str">
        <f>T("   400299")</f>
        <v xml:space="preserve">   400299</v>
      </c>
      <c r="B696" t="s">
        <v>147</v>
      </c>
      <c r="C696">
        <v>3040374</v>
      </c>
      <c r="D696">
        <v>715</v>
      </c>
    </row>
    <row r="697" spans="1:4" x14ac:dyDescent="0.25">
      <c r="A697" t="str">
        <f>T("   400911")</f>
        <v xml:space="preserve">   400911</v>
      </c>
      <c r="B697" t="str">
        <f>T("   Tubes et tuyaux en caoutchouc vulcanisé non durci, non renforcés à l'aide d'autres matières ni autrement associés à d'autres matières, sans accessoires")</f>
        <v xml:space="preserve">   Tubes et tuyaux en caoutchouc vulcanisé non durci, non renforcés à l'aide d'autres matières ni autrement associés à d'autres matières, sans accessoires</v>
      </c>
      <c r="C697">
        <v>1582373</v>
      </c>
      <c r="D697">
        <v>77</v>
      </c>
    </row>
    <row r="698" spans="1:4" x14ac:dyDescent="0.25">
      <c r="A698" t="str">
        <f>T("   400912")</f>
        <v xml:space="preserve">   400912</v>
      </c>
      <c r="B698" t="str">
        <f>T("   TUBES ET TUYAUX EN CAOUTCHOUC VULCANISÉ NON DURCI, NON RENFORCÉS À L'AIDE D'AUTRES MATIÈRES NI AUTREMENT ASSOCIÉS À D'AUTRES MATIÈRES, AVEC ACCESSOIRES [JOINTS, COUDES, RACCORDS, PAR EXEMPLE]")</f>
        <v xml:space="preserve">   TUBES ET TUYAUX EN CAOUTCHOUC VULCANISÉ NON DURCI, NON RENFORCÉS À L'AIDE D'AUTRES MATIÈRES NI AUTREMENT ASSOCIÉS À D'AUTRES MATIÈRES, AVEC ACCESSOIRES [JOINTS, COUDES, RACCORDS, PAR EXEMPLE]</v>
      </c>
      <c r="C698">
        <v>753416</v>
      </c>
      <c r="D698">
        <v>23.8</v>
      </c>
    </row>
    <row r="699" spans="1:4" x14ac:dyDescent="0.25">
      <c r="A699" t="str">
        <f>T("   400921")</f>
        <v xml:space="preserve">   400921</v>
      </c>
      <c r="B699" t="str">
        <f>T("   Tubes et tuyaux en caoutchouc vulcanisé non durci, renforcés seulement à l'aide de métal ou autrement associés seulement à du métal, sans accessoires")</f>
        <v xml:space="preserve">   Tubes et tuyaux en caoutchouc vulcanisé non durci, renforcés seulement à l'aide de métal ou autrement associés seulement à du métal, sans accessoires</v>
      </c>
      <c r="C699">
        <v>81962</v>
      </c>
      <c r="D699">
        <v>6.27</v>
      </c>
    </row>
    <row r="700" spans="1:4" x14ac:dyDescent="0.25">
      <c r="A700" t="str">
        <f>T("   400931")</f>
        <v xml:space="preserve">   400931</v>
      </c>
      <c r="B700" t="str">
        <f>T("   Tubes et tuyaux en caoutchouc vulcanisé non durci, renforcés seulement à l'aide de matières textiles ou autrement associés seulement à des matières textiles, sans accessoires")</f>
        <v xml:space="preserve">   Tubes et tuyaux en caoutchouc vulcanisé non durci, renforcés seulement à l'aide de matières textiles ou autrement associés seulement à des matières textiles, sans accessoires</v>
      </c>
      <c r="C700">
        <v>496562</v>
      </c>
      <c r="D700">
        <v>12</v>
      </c>
    </row>
    <row r="701" spans="1:4" x14ac:dyDescent="0.25">
      <c r="A701" t="str">
        <f>T("   400932")</f>
        <v xml:space="preserve">   400932</v>
      </c>
      <c r="B701" t="str">
        <f>T("   TUBES ET TUYAUX EN CAOUTCHOUC VULCANISÉ NON DURCI, RENFORCÉS SEULEMENT À L'AIDE DE MATIÈRES TEXTILES OU AUTREMENT ASSOCIÉS SEULEMENT À DES MATIÈRES TEXTILES, AVEC ACCESSOIRES [JOINTS, COUDES, RACCORDS, PAR EXEMPLE]")</f>
        <v xml:space="preserve">   TUBES ET TUYAUX EN CAOUTCHOUC VULCANISÉ NON DURCI, RENFORCÉS SEULEMENT À L'AIDE DE MATIÈRES TEXTILES OU AUTREMENT ASSOCIÉS SEULEMENT À DES MATIÈRES TEXTILES, AVEC ACCESSOIRES [JOINTS, COUDES, RACCORDS, PAR EXEMPLE]</v>
      </c>
      <c r="C701">
        <v>725636</v>
      </c>
      <c r="D701">
        <v>19</v>
      </c>
    </row>
    <row r="702" spans="1:4" x14ac:dyDescent="0.25">
      <c r="A702" t="str">
        <f>T("   400942")</f>
        <v xml:space="preserve">   400942</v>
      </c>
      <c r="B702" t="s">
        <v>153</v>
      </c>
      <c r="C702">
        <v>1298689</v>
      </c>
      <c r="D702">
        <v>63</v>
      </c>
    </row>
    <row r="703" spans="1:4" x14ac:dyDescent="0.25">
      <c r="A703" t="str">
        <f>T("   401012")</f>
        <v xml:space="preserve">   401012</v>
      </c>
      <c r="B703" t="str">
        <f>T("   Courroies transporteuses, en caoutchouc vulcanisé, renforcées seulement de matières textiles")</f>
        <v xml:space="preserve">   Courroies transporteuses, en caoutchouc vulcanisé, renforcées seulement de matières textiles</v>
      </c>
      <c r="C703">
        <v>54299056</v>
      </c>
      <c r="D703">
        <v>9235</v>
      </c>
    </row>
    <row r="704" spans="1:4" x14ac:dyDescent="0.25">
      <c r="A704" t="str">
        <f>T("   401039")</f>
        <v xml:space="preserve">   401039</v>
      </c>
      <c r="B704" t="s">
        <v>154</v>
      </c>
      <c r="C704">
        <v>2349391</v>
      </c>
      <c r="D704">
        <v>86.8</v>
      </c>
    </row>
    <row r="705" spans="1:4" x14ac:dyDescent="0.25">
      <c r="A705" t="str">
        <f>T("   401110")</f>
        <v xml:space="preserve">   401110</v>
      </c>
      <c r="B705" t="str">
        <f>T("   Pneumatiques neufs, en caoutchouc, des types utilisés pour les voitures de tourisme, y.c. les voitures du type 'break' et les voitures de course")</f>
        <v xml:space="preserve">   Pneumatiques neufs, en caoutchouc, des types utilisés pour les voitures de tourisme, y.c. les voitures du type 'break' et les voitures de course</v>
      </c>
      <c r="C705">
        <v>1261436</v>
      </c>
      <c r="D705">
        <v>3190</v>
      </c>
    </row>
    <row r="706" spans="1:4" x14ac:dyDescent="0.25">
      <c r="A706" t="str">
        <f>T("   401120")</f>
        <v xml:space="preserve">   401120</v>
      </c>
      <c r="B706" t="str">
        <f>T("   Pneumatiques neufs, en caoutchouc, des types utilisés pour les autobus ou les camions (à l'excl. des pneumatiques à crampons, à chevrons ou simil.)")</f>
        <v xml:space="preserve">   Pneumatiques neufs, en caoutchouc, des types utilisés pour les autobus ou les camions (à l'excl. des pneumatiques à crampons, à chevrons ou simil.)</v>
      </c>
      <c r="C706">
        <v>3079424</v>
      </c>
      <c r="D706">
        <v>2120</v>
      </c>
    </row>
    <row r="707" spans="1:4" x14ac:dyDescent="0.25">
      <c r="A707" t="str">
        <f>T("   401140")</f>
        <v xml:space="preserve">   401140</v>
      </c>
      <c r="B707" t="str">
        <f>T("   Pneumatiques neufs, en caoutchouc, des types utilisés pour les motocycles")</f>
        <v xml:space="preserve">   Pneumatiques neufs, en caoutchouc, des types utilisés pour les motocycles</v>
      </c>
      <c r="C707">
        <v>213844</v>
      </c>
      <c r="D707">
        <v>14</v>
      </c>
    </row>
    <row r="708" spans="1:4" x14ac:dyDescent="0.25">
      <c r="A708" t="str">
        <f>T("   401162")</f>
        <v xml:space="preserve">   401162</v>
      </c>
      <c r="B708" t="str">
        <f>T("   Pneumatiques neufs, en caoutchouc, à crampons, à chevrons ou simil., des types utilisés pour les véhicules et engins de génie civil et de manutention industrielle, pour jantes d'un diamètre &lt;= 61 cm")</f>
        <v xml:space="preserve">   Pneumatiques neufs, en caoutchouc, à crampons, à chevrons ou simil., des types utilisés pour les véhicules et engins de génie civil et de manutention industrielle, pour jantes d'un diamètre &lt;= 61 cm</v>
      </c>
      <c r="C708">
        <v>13773887</v>
      </c>
      <c r="D708">
        <v>6340</v>
      </c>
    </row>
    <row r="709" spans="1:4" x14ac:dyDescent="0.25">
      <c r="A709" t="str">
        <f>T("   401199")</f>
        <v xml:space="preserve">   401199</v>
      </c>
      <c r="B709" t="s">
        <v>155</v>
      </c>
      <c r="C709">
        <v>3215595</v>
      </c>
      <c r="D709">
        <v>200</v>
      </c>
    </row>
    <row r="710" spans="1:4" x14ac:dyDescent="0.25">
      <c r="A710" t="str">
        <f>T("   401211")</f>
        <v xml:space="preserve">   401211</v>
      </c>
      <c r="B710" t="str">
        <f>T("   Pneumatiques rechapés, en caoutchouc, des types utilisés pour les voitures de tourisme, y.c. les voitures du type 'break' et les voitures de course")</f>
        <v xml:space="preserve">   Pneumatiques rechapés, en caoutchouc, des types utilisés pour les voitures de tourisme, y.c. les voitures du type 'break' et les voitures de course</v>
      </c>
      <c r="C710">
        <v>179056254</v>
      </c>
      <c r="D710">
        <v>307015</v>
      </c>
    </row>
    <row r="711" spans="1:4" x14ac:dyDescent="0.25">
      <c r="A711" t="str">
        <f>T("   401219")</f>
        <v xml:space="preserve">   401219</v>
      </c>
      <c r="B711" t="str">
        <f>T("   Pneumatiques rechapés, en caoutchouc (à l'excl. des pneumatiques des types utilisés pour les voitures de tourisme, les voitures du type 'break', les voitures de course, les autobus, les camions ou les véhicules aériens)")</f>
        <v xml:space="preserve">   Pneumatiques rechapés, en caoutchouc (à l'excl. des pneumatiques des types utilisés pour les voitures de tourisme, les voitures du type 'break', les voitures de course, les autobus, les camions ou les véhicules aériens)</v>
      </c>
      <c r="C711">
        <v>1281536</v>
      </c>
      <c r="D711">
        <v>3700</v>
      </c>
    </row>
    <row r="712" spans="1:4" x14ac:dyDescent="0.25">
      <c r="A712" t="str">
        <f>T("   401220")</f>
        <v xml:space="preserve">   401220</v>
      </c>
      <c r="B712" t="str">
        <f>T("   Pneumatiques usagés, en caoutchouc")</f>
        <v xml:space="preserve">   Pneumatiques usagés, en caoutchouc</v>
      </c>
      <c r="C712">
        <v>515535293</v>
      </c>
      <c r="D712">
        <v>1358830</v>
      </c>
    </row>
    <row r="713" spans="1:4" x14ac:dyDescent="0.25">
      <c r="A713" t="str">
        <f>T("   401290")</f>
        <v xml:space="preserve">   401290</v>
      </c>
      <c r="B713" t="str">
        <f>T("   Bandages pleins ou creux [mi-pleins], bandes de roulement amovibles pour pneumatiques et flaps, en caoutchouc")</f>
        <v xml:space="preserve">   Bandages pleins ou creux [mi-pleins], bandes de roulement amovibles pour pneumatiques et flaps, en caoutchouc</v>
      </c>
      <c r="C713">
        <v>282116</v>
      </c>
      <c r="D713">
        <v>147.37</v>
      </c>
    </row>
    <row r="714" spans="1:4" x14ac:dyDescent="0.25">
      <c r="A714" t="str">
        <f>T("   401310")</f>
        <v xml:space="preserve">   401310</v>
      </c>
      <c r="B714" t="str">
        <f>T("   Chambres à air, en caoutchouc, des types utilisés pour les voitures de tourisme [y.c. les voitures du type 'break' et les voitures de course], les autobus ou les camions")</f>
        <v xml:space="preserve">   Chambres à air, en caoutchouc, des types utilisés pour les voitures de tourisme [y.c. les voitures du type 'break' et les voitures de course], les autobus ou les camions</v>
      </c>
      <c r="C714">
        <v>9074317</v>
      </c>
      <c r="D714">
        <v>45828</v>
      </c>
    </row>
    <row r="715" spans="1:4" x14ac:dyDescent="0.25">
      <c r="A715" t="str">
        <f>T("   401390")</f>
        <v xml:space="preserve">   401390</v>
      </c>
      <c r="B715" t="str">
        <f>T("   Chambres à air, en caoutchouc (à l'excl. des chambres à air des types utilisés pour les voitures de tourisme, les voitures du type 'break', les voitures de course, les autobus, les camions et les bicyclettes)")</f>
        <v xml:space="preserve">   Chambres à air, en caoutchouc (à l'excl. des chambres à air des types utilisés pour les voitures de tourisme, les voitures du type 'break', les voitures de course, les autobus, les camions et les bicyclettes)</v>
      </c>
      <c r="C715">
        <v>6418964</v>
      </c>
      <c r="D715">
        <v>84538</v>
      </c>
    </row>
    <row r="716" spans="1:4" x14ac:dyDescent="0.25">
      <c r="A716" t="str">
        <f>T("   401410")</f>
        <v xml:space="preserve">   401410</v>
      </c>
      <c r="B716" t="str">
        <f>T("   Préservatifs en caoutchouc vulcanisé non durci")</f>
        <v xml:space="preserve">   Préservatifs en caoutchouc vulcanisé non durci</v>
      </c>
      <c r="C716">
        <v>1332673</v>
      </c>
      <c r="D716">
        <v>546</v>
      </c>
    </row>
    <row r="717" spans="1:4" x14ac:dyDescent="0.25">
      <c r="A717" t="str">
        <f>T("   401490")</f>
        <v xml:space="preserve">   401490</v>
      </c>
      <c r="B717" t="str">
        <f>T("   ARTICLES D'HYGIÈNE OU DE PHARMACIE, Y.C. LES TÉTINES, EN CAOUTCHOUC VULCANISÉ NON-DURCI, MÊME AVEC PARTIES EN CAOUTCHOUC DURCI, N.D.A. (À L'EXCL. DES PRÉSERVATIFS AINSI QUE DES VÊTEMENTS ET ACCESSOIRES DU VÊTEMENT, Y.C. LES GANTS, POUR TOUS USAGES)")</f>
        <v xml:space="preserve">   ARTICLES D'HYGIÈNE OU DE PHARMACIE, Y.C. LES TÉTINES, EN CAOUTCHOUC VULCANISÉ NON-DURCI, MÊME AVEC PARTIES EN CAOUTCHOUC DURCI, N.D.A. (À L'EXCL. DES PRÉSERVATIFS AINSI QUE DES VÊTEMENTS ET ACCESSOIRES DU VÊTEMENT, Y.C. LES GANTS, POUR TOUS USAGES)</v>
      </c>
      <c r="C717">
        <v>429654</v>
      </c>
      <c r="D717">
        <v>82</v>
      </c>
    </row>
    <row r="718" spans="1:4" x14ac:dyDescent="0.25">
      <c r="A718" t="str">
        <f>T("   401511")</f>
        <v xml:space="preserve">   401511</v>
      </c>
      <c r="B718" t="str">
        <f>T("   Gants en caoutchouc vulcanisé non durci, pour la chirurgie")</f>
        <v xml:space="preserve">   Gants en caoutchouc vulcanisé non durci, pour la chirurgie</v>
      </c>
      <c r="C718">
        <v>1690330</v>
      </c>
      <c r="D718">
        <v>216</v>
      </c>
    </row>
    <row r="719" spans="1:4" x14ac:dyDescent="0.25">
      <c r="A719" t="str">
        <f>T("   401693")</f>
        <v xml:space="preserve">   401693</v>
      </c>
      <c r="B719" t="str">
        <f>T("   Joints en caoutchouc vulcanisé non durci (à l'excl. des articles en caoutchouc alvéolaire)")</f>
        <v xml:space="preserve">   Joints en caoutchouc vulcanisé non durci (à l'excl. des articles en caoutchouc alvéolaire)</v>
      </c>
      <c r="C719">
        <v>2220207</v>
      </c>
      <c r="D719">
        <v>52.2</v>
      </c>
    </row>
    <row r="720" spans="1:4" x14ac:dyDescent="0.25">
      <c r="A720" t="str">
        <f>T("   401699")</f>
        <v xml:space="preserve">   401699</v>
      </c>
      <c r="B720" t="str">
        <f>T("   OUVRAGES EN CAOUTCHOUC VULCANISÉ NON-DURCI, N.D.A.")</f>
        <v xml:space="preserve">   OUVRAGES EN CAOUTCHOUC VULCANISÉ NON-DURCI, N.D.A.</v>
      </c>
      <c r="C720">
        <v>676105</v>
      </c>
      <c r="D720">
        <v>91.4</v>
      </c>
    </row>
    <row r="721" spans="1:4" x14ac:dyDescent="0.25">
      <c r="A721" t="str">
        <f>T("   420100")</f>
        <v xml:space="preserve">   420100</v>
      </c>
      <c r="B721" t="s">
        <v>160</v>
      </c>
      <c r="C721">
        <v>1121692</v>
      </c>
      <c r="D721">
        <v>120</v>
      </c>
    </row>
    <row r="722" spans="1:4" x14ac:dyDescent="0.25">
      <c r="A722" t="str">
        <f>T("   420219")</f>
        <v xml:space="preserve">   420219</v>
      </c>
      <c r="B722" t="s">
        <v>161</v>
      </c>
      <c r="C722">
        <v>537545</v>
      </c>
      <c r="D722">
        <v>813</v>
      </c>
    </row>
    <row r="723" spans="1:4" x14ac:dyDescent="0.25">
      <c r="A723" t="str">
        <f>T("   420229")</f>
        <v xml:space="preserve">   420229</v>
      </c>
      <c r="B723" t="str">
        <f>T("   Sacs à main, même à bandoulière, y.c. ceux sans poignée, à surface extérieure en fibre vulcanisée ou en carton, ou recouverts, en totalité ou en majeure partie, de ces mêmes matières ou de papier")</f>
        <v xml:space="preserve">   Sacs à main, même à bandoulière, y.c. ceux sans poignée, à surface extérieure en fibre vulcanisée ou en carton, ou recouverts, en totalité ou en majeure partie, de ces mêmes matières ou de papier</v>
      </c>
      <c r="C723">
        <v>42182630</v>
      </c>
      <c r="D723">
        <v>84000</v>
      </c>
    </row>
    <row r="724" spans="1:4" x14ac:dyDescent="0.25">
      <c r="A724" t="str">
        <f>T("   420239")</f>
        <v xml:space="preserve">   420239</v>
      </c>
      <c r="B724" t="s">
        <v>162</v>
      </c>
      <c r="C724">
        <v>846188</v>
      </c>
      <c r="D724">
        <v>200</v>
      </c>
    </row>
    <row r="725" spans="1:4" x14ac:dyDescent="0.25">
      <c r="A725" t="str">
        <f>T("   420299")</f>
        <v xml:space="preserve">   420299</v>
      </c>
      <c r="B725" t="s">
        <v>164</v>
      </c>
      <c r="C725">
        <v>49197</v>
      </c>
      <c r="D725">
        <v>9</v>
      </c>
    </row>
    <row r="726" spans="1:4" x14ac:dyDescent="0.25">
      <c r="A726" t="str">
        <f>T("   440310")</f>
        <v xml:space="preserve">   440310</v>
      </c>
      <c r="B726" t="s">
        <v>167</v>
      </c>
      <c r="C726">
        <v>84143803</v>
      </c>
      <c r="D726">
        <v>198510</v>
      </c>
    </row>
    <row r="727" spans="1:4" x14ac:dyDescent="0.25">
      <c r="A727" t="str">
        <f>T("   441299")</f>
        <v xml:space="preserve">   441299</v>
      </c>
      <c r="B727" t="s">
        <v>180</v>
      </c>
      <c r="C727">
        <v>130909937</v>
      </c>
      <c r="D727">
        <v>259200</v>
      </c>
    </row>
    <row r="728" spans="1:4" x14ac:dyDescent="0.25">
      <c r="A728" t="str">
        <f>T("   460290")</f>
        <v xml:space="preserve">   460290</v>
      </c>
      <c r="B728" t="s">
        <v>186</v>
      </c>
      <c r="C728">
        <v>5857067</v>
      </c>
      <c r="D728">
        <v>1375</v>
      </c>
    </row>
    <row r="729" spans="1:4" x14ac:dyDescent="0.25">
      <c r="A729" t="str">
        <f>T("   480269")</f>
        <v xml:space="preserve">   480269</v>
      </c>
      <c r="B729" t="s">
        <v>191</v>
      </c>
      <c r="C729">
        <v>68839066</v>
      </c>
      <c r="D729">
        <v>150442</v>
      </c>
    </row>
    <row r="730" spans="1:4" x14ac:dyDescent="0.25">
      <c r="A730" t="str">
        <f>T("   480431")</f>
        <v xml:space="preserve">   480431</v>
      </c>
      <c r="B730" t="s">
        <v>195</v>
      </c>
      <c r="C730">
        <v>10261294</v>
      </c>
      <c r="D730">
        <v>10179</v>
      </c>
    </row>
    <row r="731" spans="1:4" x14ac:dyDescent="0.25">
      <c r="A731" t="str">
        <f>T("   480920")</f>
        <v xml:space="preserve">   480920</v>
      </c>
      <c r="B731" t="str">
        <f>T("   PAPIERS DITS 'AUTOCOPIANTS', MÊME IMPRIMÉS, EN ROULEAUX D'UNE LARGEUR &gt; 36 CM OU EN FEUILLES DE FORME CARRÉE OU RECTANGULAIRE DONT UN CÔTÉ AU MOINS &gt; 36 CM À L'ÉTAT NON-PLIÉ (À L'EXCL. DES PAPIERS CARBONE ET DES PAPIERS SIMIL.)")</f>
        <v xml:space="preserve">   PAPIERS DITS 'AUTOCOPIANTS', MÊME IMPRIMÉS, EN ROULEAUX D'UNE LARGEUR &gt; 36 CM OU EN FEUILLES DE FORME CARRÉE OU RECTANGULAIRE DONT UN CÔTÉ AU MOINS &gt; 36 CM À L'ÉTAT NON-PLIÉ (À L'EXCL. DES PAPIERS CARBONE ET DES PAPIERS SIMIL.)</v>
      </c>
      <c r="C731">
        <v>14334779</v>
      </c>
      <c r="D731">
        <v>13207</v>
      </c>
    </row>
    <row r="732" spans="1:4" x14ac:dyDescent="0.25">
      <c r="A732" t="str">
        <f>T("   481029")</f>
        <v xml:space="preserve">   481029</v>
      </c>
      <c r="B732" t="s">
        <v>205</v>
      </c>
      <c r="C732">
        <v>28114098</v>
      </c>
      <c r="D732">
        <v>61375</v>
      </c>
    </row>
    <row r="733" spans="1:4" x14ac:dyDescent="0.25">
      <c r="A733" t="str">
        <f>T("   481620")</f>
        <v xml:space="preserve">   481620</v>
      </c>
      <c r="B733" t="s">
        <v>212</v>
      </c>
      <c r="C733">
        <v>45140319</v>
      </c>
      <c r="D733">
        <v>49401</v>
      </c>
    </row>
    <row r="734" spans="1:4" x14ac:dyDescent="0.25">
      <c r="A734" t="str">
        <f>T("   481810")</f>
        <v xml:space="preserve">   481810</v>
      </c>
      <c r="B734" t="str">
        <f>T("   Papier hygiénique, en rouleaux d'une largeur &lt;= 36 cm")</f>
        <v xml:space="preserve">   Papier hygiénique, en rouleaux d'une largeur &lt;= 36 cm</v>
      </c>
      <c r="C734">
        <v>3013203</v>
      </c>
      <c r="D734">
        <v>22801</v>
      </c>
    </row>
    <row r="735" spans="1:4" x14ac:dyDescent="0.25">
      <c r="A735" t="str">
        <f>T("   481820")</f>
        <v xml:space="preserve">   481820</v>
      </c>
      <c r="B735" t="str">
        <f>T("   Mouchoirs, serviettes à démaquiller et essuie-mains, en pâte à papier, papier, ouate de cellulose ou nappes de fibres de cellulose")</f>
        <v xml:space="preserve">   Mouchoirs, serviettes à démaquiller et essuie-mains, en pâte à papier, papier, ouate de cellulose ou nappes de fibres de cellulose</v>
      </c>
      <c r="C735">
        <v>16342467</v>
      </c>
      <c r="D735">
        <v>19981</v>
      </c>
    </row>
    <row r="736" spans="1:4" x14ac:dyDescent="0.25">
      <c r="A736" t="str">
        <f>T("   481840")</f>
        <v xml:space="preserve">   481840</v>
      </c>
      <c r="B736" t="str">
        <f>T("   Serviettes et tampons hygiéniques, couches pour bébés et articles hygiéniques simil., en pâte à papier, papier, ouate de cellulose ou nappes de fibres de cellulose")</f>
        <v xml:space="preserve">   Serviettes et tampons hygiéniques, couches pour bébés et articles hygiéniques simil., en pâte à papier, papier, ouate de cellulose ou nappes de fibres de cellulose</v>
      </c>
      <c r="C736">
        <v>4745215</v>
      </c>
      <c r="D736">
        <v>7963</v>
      </c>
    </row>
    <row r="737" spans="1:4" x14ac:dyDescent="0.25">
      <c r="A737" t="str">
        <f>T("   481910")</f>
        <v xml:space="preserve">   481910</v>
      </c>
      <c r="B737" t="str">
        <f>T("   Boîtes et caisses en papier ou en carton ondulé")</f>
        <v xml:space="preserve">   Boîtes et caisses en papier ou en carton ondulé</v>
      </c>
      <c r="C737">
        <v>3959402</v>
      </c>
      <c r="D737">
        <v>1171</v>
      </c>
    </row>
    <row r="738" spans="1:4" x14ac:dyDescent="0.25">
      <c r="A738" t="str">
        <f>T("   481920")</f>
        <v xml:space="preserve">   481920</v>
      </c>
      <c r="B738" t="str">
        <f>T("   Boîtes et cartonnages, pliants, en papier ou en carton non ondulé")</f>
        <v xml:space="preserve">   Boîtes et cartonnages, pliants, en papier ou en carton non ondulé</v>
      </c>
      <c r="C738">
        <v>99050</v>
      </c>
      <c r="D738">
        <v>5</v>
      </c>
    </row>
    <row r="739" spans="1:4" x14ac:dyDescent="0.25">
      <c r="A739" t="str">
        <f>T("   481950")</f>
        <v xml:space="preserve">   481950</v>
      </c>
      <c r="B739" t="s">
        <v>216</v>
      </c>
      <c r="C739">
        <v>234178</v>
      </c>
      <c r="D739">
        <v>28</v>
      </c>
    </row>
    <row r="740" spans="1:4" x14ac:dyDescent="0.25">
      <c r="A740" t="str">
        <f>T("   482090")</f>
        <v xml:space="preserve">   482090</v>
      </c>
      <c r="B740" t="s">
        <v>217</v>
      </c>
      <c r="C740">
        <v>123321</v>
      </c>
      <c r="D740">
        <v>232</v>
      </c>
    </row>
    <row r="741" spans="1:4" x14ac:dyDescent="0.25">
      <c r="A741" t="str">
        <f>T("   482110")</f>
        <v xml:space="preserve">   482110</v>
      </c>
      <c r="B741" t="str">
        <f>T("   ÉTIQUETTES DE TOUS GENRES, EN PAPIER OU EN CARTON, IMPRIMÉES")</f>
        <v xml:space="preserve">   ÉTIQUETTES DE TOUS GENRES, EN PAPIER OU EN CARTON, IMPRIMÉES</v>
      </c>
      <c r="C741">
        <v>69650</v>
      </c>
      <c r="D741">
        <v>22</v>
      </c>
    </row>
    <row r="742" spans="1:4" x14ac:dyDescent="0.25">
      <c r="A742" t="str">
        <f>T("   482190")</f>
        <v xml:space="preserve">   482190</v>
      </c>
      <c r="B742" t="str">
        <f>T("   ÉTIQUETTES DE TOUS GENRES, EN PAPIER OU EN CARTON, NON-IMPRIMÉES")</f>
        <v xml:space="preserve">   ÉTIQUETTES DE TOUS GENRES, EN PAPIER OU EN CARTON, NON-IMPRIMÉES</v>
      </c>
      <c r="C742">
        <v>3936</v>
      </c>
      <c r="D742">
        <v>2</v>
      </c>
    </row>
    <row r="743" spans="1:4" x14ac:dyDescent="0.25">
      <c r="A743" t="str">
        <f>T("   482390")</f>
        <v xml:space="preserve">   482390</v>
      </c>
      <c r="B743" t="s">
        <v>218</v>
      </c>
      <c r="C743">
        <v>356902</v>
      </c>
      <c r="D743">
        <v>270.39999999999998</v>
      </c>
    </row>
    <row r="744" spans="1:4" x14ac:dyDescent="0.25">
      <c r="A744" t="str">
        <f>T("   490110")</f>
        <v xml:space="preserve">   490110</v>
      </c>
      <c r="B744" t="str">
        <f>T("   Livres, brochures et imprimés simil., en feuillets isolés, même pliés (à l'excl. des publications périodiques et des publications à usages principalement publicitaires)")</f>
        <v xml:space="preserve">   Livres, brochures et imprimés simil., en feuillets isolés, même pliés (à l'excl. des publications périodiques et des publications à usages principalement publicitaires)</v>
      </c>
      <c r="C744">
        <v>7259097</v>
      </c>
      <c r="D744">
        <v>547</v>
      </c>
    </row>
    <row r="745" spans="1:4" x14ac:dyDescent="0.25">
      <c r="A745" t="str">
        <f>T("   490199")</f>
        <v xml:space="preserve">   490199</v>
      </c>
      <c r="B745"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745">
        <v>24952505</v>
      </c>
      <c r="D745">
        <v>15275</v>
      </c>
    </row>
    <row r="746" spans="1:4" x14ac:dyDescent="0.25">
      <c r="A746" t="str">
        <f>T("   491000")</f>
        <v xml:space="preserve">   491000</v>
      </c>
      <c r="B746" t="str">
        <f>T("   Calendriers de tous genres, imprimés, y.c. les blocs de calendriers à effeuiller")</f>
        <v xml:space="preserve">   Calendriers de tous genres, imprimés, y.c. les blocs de calendriers à effeuiller</v>
      </c>
      <c r="C746">
        <v>54714</v>
      </c>
      <c r="D746">
        <v>15</v>
      </c>
    </row>
    <row r="747" spans="1:4" x14ac:dyDescent="0.25">
      <c r="A747" t="str">
        <f>T("   491110")</f>
        <v xml:space="preserve">   491110</v>
      </c>
      <c r="B747" t="str">
        <f>T("   Imprimés publicitaires, catalogues commerciaux et simil.")</f>
        <v xml:space="preserve">   Imprimés publicitaires, catalogues commerciaux et simil.</v>
      </c>
      <c r="C747">
        <v>484598</v>
      </c>
      <c r="D747">
        <v>249</v>
      </c>
    </row>
    <row r="748" spans="1:4" x14ac:dyDescent="0.25">
      <c r="A748" t="str">
        <f>T("   500790")</f>
        <v xml:space="preserve">   500790</v>
      </c>
      <c r="B748" t="str">
        <f>T("   Tissus de soie ou de déchets de soie (autres que la bourrette), contenant en prédominance, mais &lt; 85% de soie ou de déchets de soie")</f>
        <v xml:space="preserve">   Tissus de soie ou de déchets de soie (autres que la bourrette), contenant en prédominance, mais &lt; 85% de soie ou de déchets de soie</v>
      </c>
      <c r="C748">
        <v>29518</v>
      </c>
      <c r="D748">
        <v>19</v>
      </c>
    </row>
    <row r="749" spans="1:4" x14ac:dyDescent="0.25">
      <c r="A749" t="str">
        <f>T("   520852")</f>
        <v xml:space="preserve">   520852</v>
      </c>
      <c r="B749" t="str">
        <f>T("   Tissus de coton, imprimés, à armure toile, contenant &gt;= 85% en poids de coton, d'un poids &gt; 100 g/m² mais &lt;= 200 g/m²")</f>
        <v xml:space="preserve">   Tissus de coton, imprimés, à armure toile, contenant &gt;= 85% en poids de coton, d'un poids &gt; 100 g/m² mais &lt;= 200 g/m²</v>
      </c>
      <c r="C749">
        <v>1513477</v>
      </c>
      <c r="D749">
        <v>3055</v>
      </c>
    </row>
    <row r="750" spans="1:4" x14ac:dyDescent="0.25">
      <c r="A750" t="str">
        <f>T("   540110")</f>
        <v xml:space="preserve">   540110</v>
      </c>
      <c r="B750" t="str">
        <f>T("   Fils à coudre de filaments synthétiques, même conditionnés pour la vente au détail")</f>
        <v xml:space="preserve">   Fils à coudre de filaments synthétiques, même conditionnés pour la vente au détail</v>
      </c>
      <c r="C750">
        <v>231554</v>
      </c>
      <c r="D750">
        <v>88</v>
      </c>
    </row>
    <row r="751" spans="1:4" x14ac:dyDescent="0.25">
      <c r="A751" t="str">
        <f>T("   540333")</f>
        <v xml:space="preserve">   540333</v>
      </c>
      <c r="B751" t="str">
        <f>T("   Fils simples, de filaments d'acétate de cellulose, y.c. les monofilaments de moins de 67 décitex (à l'excl. des fils à coudre et des fils texturés et conditionnés pour la vente au détail)")</f>
        <v xml:space="preserve">   Fils simples, de filaments d'acétate de cellulose, y.c. les monofilaments de moins de 67 décitex (à l'excl. des fils à coudre et des fils texturés et conditionnés pour la vente au détail)</v>
      </c>
      <c r="C751">
        <v>150000</v>
      </c>
      <c r="D751">
        <v>300</v>
      </c>
    </row>
    <row r="752" spans="1:4" x14ac:dyDescent="0.25">
      <c r="A752" t="str">
        <f>T("   540490")</f>
        <v xml:space="preserve">   540490</v>
      </c>
      <c r="B752" t="str">
        <f>T("   LAMES ET FORMES SIMIL. [PAILLE ARTIFICIELLE, P.EX.], EN MATIÈRES TEXTILES SYNTHÉTIQUES, D'UNE LARGEUR APPARENTE &lt;= 5 MM")</f>
        <v xml:space="preserve">   LAMES ET FORMES SIMIL. [PAILLE ARTIFICIELLE, P.EX.], EN MATIÈRES TEXTILES SYNTHÉTIQUES, D'UNE LARGEUR APPARENTE &lt;= 5 MM</v>
      </c>
      <c r="C752">
        <v>69532</v>
      </c>
      <c r="D752">
        <v>10</v>
      </c>
    </row>
    <row r="753" spans="1:4" x14ac:dyDescent="0.25">
      <c r="A753" t="str">
        <f>T("   540773")</f>
        <v xml:space="preserve">   540773</v>
      </c>
      <c r="B753" t="s">
        <v>226</v>
      </c>
      <c r="C753">
        <v>16215988</v>
      </c>
      <c r="D753">
        <v>4622</v>
      </c>
    </row>
    <row r="754" spans="1:4" x14ac:dyDescent="0.25">
      <c r="A754" t="str">
        <f>T("   540783")</f>
        <v xml:space="preserve">   540783</v>
      </c>
      <c r="B754" t="s">
        <v>227</v>
      </c>
      <c r="C754">
        <v>19973326</v>
      </c>
      <c r="D754">
        <v>6744</v>
      </c>
    </row>
    <row r="755" spans="1:4" x14ac:dyDescent="0.25">
      <c r="A755" t="str">
        <f>T("   560110")</f>
        <v xml:space="preserve">   560110</v>
      </c>
      <c r="B755" t="str">
        <f>T("   Serviettes et tampons hygiéniques, couches pour bébés et articles hygiéniques simil., en ouates")</f>
        <v xml:space="preserve">   Serviettes et tampons hygiéniques, couches pour bébés et articles hygiéniques simil., en ouates</v>
      </c>
      <c r="C755">
        <v>360778</v>
      </c>
      <c r="D755">
        <v>150</v>
      </c>
    </row>
    <row r="756" spans="1:4" x14ac:dyDescent="0.25">
      <c r="A756" t="str">
        <f>T("   560129")</f>
        <v xml:space="preserve">   560129</v>
      </c>
      <c r="B756" t="s">
        <v>242</v>
      </c>
      <c r="C756">
        <v>333035</v>
      </c>
      <c r="D756">
        <v>530</v>
      </c>
    </row>
    <row r="757" spans="1:4" x14ac:dyDescent="0.25">
      <c r="A757" t="str">
        <f>T("   570390")</f>
        <v xml:space="preserve">   570390</v>
      </c>
      <c r="B757" t="str">
        <f>T("   Tapis et autres revêtements de sol, de matières textiles végétales ou de poils grossiers, touffetés, même confectionnés")</f>
        <v xml:space="preserve">   Tapis et autres revêtements de sol, de matières textiles végétales ou de poils grossiers, touffetés, même confectionnés</v>
      </c>
      <c r="C757">
        <v>623162</v>
      </c>
      <c r="D757">
        <v>1200</v>
      </c>
    </row>
    <row r="758" spans="1:4" x14ac:dyDescent="0.25">
      <c r="A758" t="str">
        <f>T("   570490")</f>
        <v xml:space="preserve">   570490</v>
      </c>
      <c r="B758" t="str">
        <f>T("   TAPIS ET AUTRES REVÊTEMENTS DE SOL, EN FEUTRE, NON TOUFFETÉS NI FLOQUÉS, MÊME CONFECTIONNÉS (À L'EXCL. DES CARREAUX D'UNE SUPERFICIE &lt;= 0,3 M¦)")</f>
        <v xml:space="preserve">   TAPIS ET AUTRES REVÊTEMENTS DE SOL, EN FEUTRE, NON TOUFFETÉS NI FLOQUÉS, MÊME CONFECTIONNÉS (À L'EXCL. DES CARREAUX D'UNE SUPERFICIE &lt;= 0,3 M¦)</v>
      </c>
      <c r="C758">
        <v>9264779</v>
      </c>
      <c r="D758">
        <v>12761</v>
      </c>
    </row>
    <row r="759" spans="1:4" x14ac:dyDescent="0.25">
      <c r="A759" t="str">
        <f>T("   580190")</f>
        <v xml:space="preserve">   580190</v>
      </c>
      <c r="B759" t="str">
        <f>T("   Velours et peluches tissés et tissus de chenille (à l'excl. des tissus bouclés du genre éponge, des surfaces textiles touffetées, des articles de rubanerie du n° 5806 et des articles de laine, de poils fins ou de fibres synthétiques ou artificielles)")</f>
        <v xml:space="preserve">   Velours et peluches tissés et tissus de chenille (à l'excl. des tissus bouclés du genre éponge, des surfaces textiles touffetées, des articles de rubanerie du n° 5806 et des articles de laine, de poils fins ou de fibres synthétiques ou artificielles)</v>
      </c>
      <c r="C759">
        <v>19896</v>
      </c>
      <c r="D759">
        <v>49</v>
      </c>
    </row>
    <row r="760" spans="1:4" x14ac:dyDescent="0.25">
      <c r="A760" t="str">
        <f>T("   610322")</f>
        <v xml:space="preserve">   610322</v>
      </c>
      <c r="B760" t="str">
        <f>T("   Ensembles en bonneterie, de coton, pour hommes ou garçonnets (sauf ensembles de ski, maillots, culottes et slips de bain)")</f>
        <v xml:space="preserve">   Ensembles en bonneterie, de coton, pour hommes ou garçonnets (sauf ensembles de ski, maillots, culottes et slips de bain)</v>
      </c>
      <c r="C760">
        <v>4257181</v>
      </c>
      <c r="D760">
        <v>248</v>
      </c>
    </row>
    <row r="761" spans="1:4" x14ac:dyDescent="0.25">
      <c r="A761" t="str">
        <f>T("   610462")</f>
        <v xml:space="preserve">   610462</v>
      </c>
      <c r="B761" t="str">
        <f>T("   PANTALONS, Y.C. KNICKERS ET PANTALONS SIMIL., ET CULOTTES, SALOPETTES À BRETELLES ET SHORTS, EN BONNETERIE, DE COTON, POUR FEMMES OU FILLETTES (SAUF SLIPS ET CULOTTES ET MAILLOTS, CULOTTES ET SLIPS DE BAIN)")</f>
        <v xml:space="preserve">   PANTALONS, Y.C. KNICKERS ET PANTALONS SIMIL., ET CULOTTES, SALOPETTES À BRETELLES ET SHORTS, EN BONNETERIE, DE COTON, POUR FEMMES OU FILLETTES (SAUF SLIPS ET CULOTTES ET MAILLOTS, CULOTTES ET SLIPS DE BAIN)</v>
      </c>
      <c r="C761">
        <v>2676316</v>
      </c>
      <c r="D761">
        <v>253</v>
      </c>
    </row>
    <row r="762" spans="1:4" x14ac:dyDescent="0.25">
      <c r="A762" t="str">
        <f>T("   610469")</f>
        <v xml:space="preserve">   610469</v>
      </c>
      <c r="B762" t="s">
        <v>261</v>
      </c>
      <c r="C762">
        <v>100000</v>
      </c>
      <c r="D762">
        <v>50</v>
      </c>
    </row>
    <row r="763" spans="1:4" x14ac:dyDescent="0.25">
      <c r="A763" t="str">
        <f>T("   610910")</f>
        <v xml:space="preserve">   610910</v>
      </c>
      <c r="B763" t="str">
        <f>T("   T-shirts et maillots de corps, en bonneterie, de coton,")</f>
        <v xml:space="preserve">   T-shirts et maillots de corps, en bonneterie, de coton,</v>
      </c>
      <c r="C763">
        <v>3686495</v>
      </c>
      <c r="D763">
        <v>349</v>
      </c>
    </row>
    <row r="764" spans="1:4" x14ac:dyDescent="0.25">
      <c r="A764" t="str">
        <f>T("   611490")</f>
        <v xml:space="preserve">   611490</v>
      </c>
      <c r="B764" t="str">
        <f>T("   Vêtements spéciaux destinés à des fins professionnelles, sportives ou autres n.d.a., en bonneterie, de matières textiles (sauf de laine, poils fins, coton, fibres synthétiques ou artificielles)")</f>
        <v xml:space="preserve">   Vêtements spéciaux destinés à des fins professionnelles, sportives ou autres n.d.a., en bonneterie, de matières textiles (sauf de laine, poils fins, coton, fibres synthétiques ou artificielles)</v>
      </c>
      <c r="C764">
        <v>8600000</v>
      </c>
      <c r="D764">
        <v>7480</v>
      </c>
    </row>
    <row r="765" spans="1:4" x14ac:dyDescent="0.25">
      <c r="A765" t="str">
        <f>T("   611599")</f>
        <v xml:space="preserve">   611599</v>
      </c>
      <c r="B765" t="s">
        <v>263</v>
      </c>
      <c r="C765">
        <v>27085244</v>
      </c>
      <c r="D765">
        <v>84629</v>
      </c>
    </row>
    <row r="766" spans="1:4" x14ac:dyDescent="0.25">
      <c r="A766" t="str">
        <f>T("   620199")</f>
        <v xml:space="preserve">   620199</v>
      </c>
      <c r="B766" t="s">
        <v>265</v>
      </c>
      <c r="C766">
        <v>65596</v>
      </c>
      <c r="D766">
        <v>500</v>
      </c>
    </row>
    <row r="767" spans="1:4" x14ac:dyDescent="0.25">
      <c r="A767" t="str">
        <f>T("   620319")</f>
        <v xml:space="preserve">   620319</v>
      </c>
      <c r="B767" t="s">
        <v>267</v>
      </c>
      <c r="C767">
        <v>65590</v>
      </c>
      <c r="D767">
        <v>75</v>
      </c>
    </row>
    <row r="768" spans="1:4" x14ac:dyDescent="0.25">
      <c r="A768" t="str">
        <f>T("   620322")</f>
        <v xml:space="preserve">   620322</v>
      </c>
      <c r="B768" t="str">
        <f>T("   Ensembles de coton, pour hommes ou garçonnets (autres qu'en bonneterie et sauf ensembles de ski et maillots, culottes et slips de bain)")</f>
        <v xml:space="preserve">   Ensembles de coton, pour hommes ou garçonnets (autres qu'en bonneterie et sauf ensembles de ski et maillots, culottes et slips de bain)</v>
      </c>
      <c r="C768">
        <v>1761253</v>
      </c>
      <c r="D768">
        <v>96</v>
      </c>
    </row>
    <row r="769" spans="1:4" x14ac:dyDescent="0.25">
      <c r="A769" t="str">
        <f>T("   620349")</f>
        <v xml:space="preserve">   620349</v>
      </c>
      <c r="B769" t="s">
        <v>268</v>
      </c>
      <c r="C769">
        <v>77515</v>
      </c>
      <c r="D769">
        <v>20</v>
      </c>
    </row>
    <row r="770" spans="1:4" x14ac:dyDescent="0.25">
      <c r="A770" t="str">
        <f>T("   620419")</f>
        <v xml:space="preserve">   620419</v>
      </c>
      <c r="B770" t="str">
        <f>T("   Costumes tailleurs, de matières textiles, pour femmes ou fillettes (autres que laine, poils fins, coton ou fibres synthétiques, autres qu'en bonneterie et sauf combinaisons de ski et vêtements de bain)")</f>
        <v xml:space="preserve">   Costumes tailleurs, de matières textiles, pour femmes ou fillettes (autres que laine, poils fins, coton ou fibres synthétiques, autres qu'en bonneterie et sauf combinaisons de ski et vêtements de bain)</v>
      </c>
      <c r="C770">
        <v>488074</v>
      </c>
      <c r="D770">
        <v>600</v>
      </c>
    </row>
    <row r="771" spans="1:4" x14ac:dyDescent="0.25">
      <c r="A771" t="str">
        <f>T("   620469")</f>
        <v xml:space="preserve">   620469</v>
      </c>
      <c r="B771" t="s">
        <v>269</v>
      </c>
      <c r="C771">
        <v>60000</v>
      </c>
      <c r="D771">
        <v>50</v>
      </c>
    </row>
    <row r="772" spans="1:4" x14ac:dyDescent="0.25">
      <c r="A772" t="str">
        <f>T("   620520")</f>
        <v xml:space="preserve">   620520</v>
      </c>
      <c r="B772" t="str">
        <f>T("   Chemises et chemisettes, de coton, pour hommes ou garçonnets (autres qu'en bonneterie et sauf chemises de nuit et gilets de corps)")</f>
        <v xml:space="preserve">   Chemises et chemisettes, de coton, pour hommes ou garçonnets (autres qu'en bonneterie et sauf chemises de nuit et gilets de corps)</v>
      </c>
      <c r="C772">
        <v>11151</v>
      </c>
      <c r="D772">
        <v>30</v>
      </c>
    </row>
    <row r="773" spans="1:4" x14ac:dyDescent="0.25">
      <c r="A773" t="str">
        <f>T("   620530")</f>
        <v xml:space="preserve">   620530</v>
      </c>
      <c r="B773" t="str">
        <f>T("   Chemises et chemisettes, de fibres synthétiques ou artificielles, pour hommes ou garçonnets (autres qu'en bonneterie et sauf chemises de nuit et gilets de corps)")</f>
        <v xml:space="preserve">   Chemises et chemisettes, de fibres synthétiques ou artificielles, pour hommes ou garçonnets (autres qu'en bonneterie et sauf chemises de nuit et gilets de corps)</v>
      </c>
      <c r="C773">
        <v>3134832</v>
      </c>
      <c r="D773">
        <v>349</v>
      </c>
    </row>
    <row r="774" spans="1:4" x14ac:dyDescent="0.25">
      <c r="A774" t="str">
        <f>T("   620590")</f>
        <v xml:space="preserve">   620590</v>
      </c>
      <c r="B774"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774">
        <v>14122365</v>
      </c>
      <c r="D774">
        <v>17932</v>
      </c>
    </row>
    <row r="775" spans="1:4" x14ac:dyDescent="0.25">
      <c r="A775" t="str">
        <f>T("   620920")</f>
        <v xml:space="preserve">   620920</v>
      </c>
      <c r="B775" t="str">
        <f>T("   Vêtements et accessoires du vêtement, de coton, pour bébés (autres qu'en bonneterie et sauf bonnets)")</f>
        <v xml:space="preserve">   Vêtements et accessoires du vêtement, de coton, pour bébés (autres qu'en bonneterie et sauf bonnets)</v>
      </c>
      <c r="C775">
        <v>2089233</v>
      </c>
      <c r="D775">
        <v>136</v>
      </c>
    </row>
    <row r="776" spans="1:4" x14ac:dyDescent="0.25">
      <c r="A776" t="str">
        <f>T("   621040")</f>
        <v xml:space="preserve">   621040</v>
      </c>
      <c r="B776" t="s">
        <v>272</v>
      </c>
      <c r="C776">
        <v>82683</v>
      </c>
      <c r="D776">
        <v>102</v>
      </c>
    </row>
    <row r="777" spans="1:4" x14ac:dyDescent="0.25">
      <c r="A777" t="str">
        <f>T("   621139")</f>
        <v xml:space="preserve">   621139</v>
      </c>
      <c r="B777" t="str">
        <f>T("   Survêtements de sport 'trainings' et autres vêtements n.d.a., de matières textiles, pour hommes ou garçonnets (autres que de laine, poils fins, coton, fibres synthétiques ou artificielles, autres qu'en bonneterie)")</f>
        <v xml:space="preserve">   Survêtements de sport 'trainings' et autres vêtements n.d.a., de matières textiles, pour hommes ou garçonnets (autres que de laine, poils fins, coton, fibres synthétiques ou artificielles, autres qu'en bonneterie)</v>
      </c>
      <c r="C777">
        <v>53133</v>
      </c>
      <c r="D777">
        <v>8</v>
      </c>
    </row>
    <row r="778" spans="1:4" x14ac:dyDescent="0.25">
      <c r="A778" t="str">
        <f>T("   630221")</f>
        <v xml:space="preserve">   630221</v>
      </c>
      <c r="B778" t="str">
        <f>T("   Linge de lit de coton, imprimé (autre qu'en bonneterie)")</f>
        <v xml:space="preserve">   Linge de lit de coton, imprimé (autre qu'en bonneterie)</v>
      </c>
      <c r="C778">
        <v>3398528</v>
      </c>
      <c r="D778">
        <v>538</v>
      </c>
    </row>
    <row r="779" spans="1:4" x14ac:dyDescent="0.25">
      <c r="A779" t="str">
        <f>T("   630251")</f>
        <v xml:space="preserve">   630251</v>
      </c>
      <c r="B779" t="str">
        <f>T("   Linge de table de coton (autre qu'en bonneterie)")</f>
        <v xml:space="preserve">   Linge de table de coton (autre qu'en bonneterie)</v>
      </c>
      <c r="C779">
        <v>7082400</v>
      </c>
      <c r="D779">
        <v>2000</v>
      </c>
    </row>
    <row r="780" spans="1:4" x14ac:dyDescent="0.25">
      <c r="A780" t="str">
        <f>T("   630399")</f>
        <v xml:space="preserve">   630399</v>
      </c>
      <c r="B780" t="str">
        <f>T("   Vitrages, rideaux et stores d'intérieur ainsi que cantonnières et tours de lit, de matières textiles (autres que de coton et fibres synthétiques, autres qu'en bonneterie et autres que stores d'extérieur)")</f>
        <v xml:space="preserve">   Vitrages, rideaux et stores d'intérieur ainsi que cantonnières et tours de lit, de matières textiles (autres que de coton et fibres synthétiques, autres qu'en bonneterie et autres que stores d'extérieur)</v>
      </c>
      <c r="C780">
        <v>2372783</v>
      </c>
      <c r="D780">
        <v>2925</v>
      </c>
    </row>
    <row r="781" spans="1:4" x14ac:dyDescent="0.25">
      <c r="A781" t="str">
        <f>T("   630612")</f>
        <v xml:space="preserve">   630612</v>
      </c>
      <c r="B781" t="str">
        <f>T("   Bâches et stores d'extérieur de fibres synthétiques (sauf auvents plats en tissus légers, confectionnés selon le type de bâche)")</f>
        <v xml:space="preserve">   Bâches et stores d'extérieur de fibres synthétiques (sauf auvents plats en tissus légers, confectionnés selon le type de bâche)</v>
      </c>
      <c r="C781">
        <v>150000</v>
      </c>
      <c r="D781">
        <v>250</v>
      </c>
    </row>
    <row r="782" spans="1:4" x14ac:dyDescent="0.25">
      <c r="A782" t="str">
        <f>T("   630790")</f>
        <v xml:space="preserve">   630790</v>
      </c>
      <c r="B782" t="str">
        <f>T("   Articles de matières textiles, confectionnés, y.c. les patrons de vêtements n.d.a.")</f>
        <v xml:space="preserve">   Articles de matières textiles, confectionnés, y.c. les patrons de vêtements n.d.a.</v>
      </c>
      <c r="C782">
        <v>726672</v>
      </c>
      <c r="D782">
        <v>252</v>
      </c>
    </row>
    <row r="783" spans="1:4" x14ac:dyDescent="0.25">
      <c r="A783" t="str">
        <f>T("   630900")</f>
        <v xml:space="preserve">   630900</v>
      </c>
      <c r="B783" t="s">
        <v>280</v>
      </c>
      <c r="C783">
        <v>3368845030</v>
      </c>
      <c r="D783">
        <v>5588188</v>
      </c>
    </row>
    <row r="784" spans="1:4" x14ac:dyDescent="0.25">
      <c r="A784" t="str">
        <f>T("   631090")</f>
        <v xml:space="preserve">   631090</v>
      </c>
      <c r="B784" t="str">
        <f>T("   Chiffons en tous types de matières textiles ainsi que ficelles, cordes et cordages et articles composés de ceux-ci, de matières textiles, sous forme de déchets ou d'articles hors d'usage, non triés")</f>
        <v xml:space="preserve">   Chiffons en tous types de matières textiles ainsi que ficelles, cordes et cordages et articles composés de ceux-ci, de matières textiles, sous forme de déchets ou d'articles hors d'usage, non triés</v>
      </c>
      <c r="C784">
        <v>320193</v>
      </c>
      <c r="D784">
        <v>21</v>
      </c>
    </row>
    <row r="785" spans="1:4" x14ac:dyDescent="0.25">
      <c r="A785" t="str">
        <f>T("   640299")</f>
        <v xml:space="preserve">   640299</v>
      </c>
      <c r="B785" t="s">
        <v>285</v>
      </c>
      <c r="C785">
        <v>846845</v>
      </c>
      <c r="D785">
        <v>1139</v>
      </c>
    </row>
    <row r="786" spans="1:4" x14ac:dyDescent="0.25">
      <c r="A786" t="str">
        <f>T("   640590")</f>
        <v xml:space="preserve">   640590</v>
      </c>
      <c r="B786" t="s">
        <v>290</v>
      </c>
      <c r="C786">
        <v>1421062</v>
      </c>
      <c r="D786">
        <v>1100</v>
      </c>
    </row>
    <row r="787" spans="1:4" x14ac:dyDescent="0.25">
      <c r="A787" t="str">
        <f>T("   650590")</f>
        <v xml:space="preserve">   650590</v>
      </c>
      <c r="B787" t="s">
        <v>291</v>
      </c>
      <c r="C787">
        <v>682527</v>
      </c>
      <c r="D787">
        <v>222</v>
      </c>
    </row>
    <row r="788" spans="1:4" x14ac:dyDescent="0.25">
      <c r="A788" t="str">
        <f>T("   650610")</f>
        <v xml:space="preserve">   650610</v>
      </c>
      <c r="B788" t="str">
        <f>T("   Coiffures de sécurité, même garnies")</f>
        <v xml:space="preserve">   Coiffures de sécurité, même garnies</v>
      </c>
      <c r="C788">
        <v>158742</v>
      </c>
      <c r="D788">
        <v>298</v>
      </c>
    </row>
    <row r="789" spans="1:4" x14ac:dyDescent="0.25">
      <c r="A789" t="str">
        <f>T("   660110")</f>
        <v xml:space="preserve">   660110</v>
      </c>
      <c r="B789" t="str">
        <f>T("   Parasols de jardin et articles simil. (sauf tentes de plage)")</f>
        <v xml:space="preserve">   Parasols de jardin et articles simil. (sauf tentes de plage)</v>
      </c>
      <c r="C789">
        <v>50509</v>
      </c>
      <c r="D789">
        <v>50</v>
      </c>
    </row>
    <row r="790" spans="1:4" x14ac:dyDescent="0.25">
      <c r="A790" t="str">
        <f>T("   660199")</f>
        <v xml:space="preserve">   660199</v>
      </c>
      <c r="B790" t="str">
        <f>T("   Parapluies, y.c. les parapluies-cannes et ombrelles (sauf parapluies et ombrelles à mât ou à manche télescopique, parasols de jardin et articles simil. et sauf jouets d'enfants)")</f>
        <v xml:space="preserve">   Parapluies, y.c. les parapluies-cannes et ombrelles (sauf parapluies et ombrelles à mât ou à manche télescopique, parasols de jardin et articles simil. et sauf jouets d'enfants)</v>
      </c>
      <c r="C790">
        <v>5192479</v>
      </c>
      <c r="D790">
        <v>2246</v>
      </c>
    </row>
    <row r="791" spans="1:4" x14ac:dyDescent="0.25">
      <c r="A791" t="str">
        <f>T("   670290")</f>
        <v xml:space="preserve">   670290</v>
      </c>
      <c r="B791" t="str">
        <f>T("   Fleurs, feuillages et fruits artificiels, y.c. leurs parties; articles confectionnés en fleurs, feuillages ou fruits artificiels fabriqués par ligature, collage, emboîtage ou procédés simil. (autres qu'en matière plastique)")</f>
        <v xml:space="preserve">   Fleurs, feuillages et fruits artificiels, y.c. leurs parties; articles confectionnés en fleurs, feuillages ou fruits artificiels fabriqués par ligature, collage, emboîtage ou procédés simil. (autres qu'en matière plastique)</v>
      </c>
      <c r="C791">
        <v>1290000</v>
      </c>
      <c r="D791">
        <v>1500</v>
      </c>
    </row>
    <row r="792" spans="1:4" x14ac:dyDescent="0.25">
      <c r="A792" t="str">
        <f>T("   680299")</f>
        <v xml:space="preserve">   680299</v>
      </c>
      <c r="B792" t="s">
        <v>297</v>
      </c>
      <c r="C792">
        <v>22418720</v>
      </c>
      <c r="D792">
        <v>264480</v>
      </c>
    </row>
    <row r="793" spans="1:4" x14ac:dyDescent="0.25">
      <c r="A793" t="str">
        <f>T("   680919")</f>
        <v xml:space="preserve">   680919</v>
      </c>
      <c r="B793" t="s">
        <v>301</v>
      </c>
      <c r="C793">
        <v>3871791</v>
      </c>
      <c r="D793">
        <v>16000</v>
      </c>
    </row>
    <row r="794" spans="1:4" x14ac:dyDescent="0.25">
      <c r="A794" t="str">
        <f>T("   680990")</f>
        <v xml:space="preserve">   680990</v>
      </c>
      <c r="B794" t="s">
        <v>302</v>
      </c>
      <c r="C794">
        <v>11697453</v>
      </c>
      <c r="D794">
        <v>51013</v>
      </c>
    </row>
    <row r="795" spans="1:4" x14ac:dyDescent="0.25">
      <c r="A795" t="str">
        <f>T("   690100")</f>
        <v xml:space="preserve">   690100</v>
      </c>
      <c r="B795" t="str">
        <f>T("   Briques, dalles, carreaux et autres pièces céramiques, en farines siliceuses fossiles [p.ex. kieselguhr, tripolite, diatomite], ou en terres siliceuses analogues")</f>
        <v xml:space="preserve">   Briques, dalles, carreaux et autres pièces céramiques, en farines siliceuses fossiles [p.ex. kieselguhr, tripolite, diatomite], ou en terres siliceuses analogues</v>
      </c>
      <c r="C795">
        <v>520000</v>
      </c>
      <c r="D795">
        <v>1537</v>
      </c>
    </row>
    <row r="796" spans="1:4" x14ac:dyDescent="0.25">
      <c r="A796" t="str">
        <f>T("   690600")</f>
        <v xml:space="preserve">   690600</v>
      </c>
      <c r="B796" t="s">
        <v>309</v>
      </c>
      <c r="C796">
        <v>358174</v>
      </c>
      <c r="D796">
        <v>10</v>
      </c>
    </row>
    <row r="797" spans="1:4" x14ac:dyDescent="0.25">
      <c r="A797" t="str">
        <f>T("   690790")</f>
        <v xml:space="preserve">   690790</v>
      </c>
      <c r="B797" t="s">
        <v>310</v>
      </c>
      <c r="C797">
        <v>24253488</v>
      </c>
      <c r="D797">
        <v>102910</v>
      </c>
    </row>
    <row r="798" spans="1:4" x14ac:dyDescent="0.25">
      <c r="A798" t="str">
        <f>T("   690890")</f>
        <v xml:space="preserve">   690890</v>
      </c>
      <c r="B798" t="s">
        <v>311</v>
      </c>
      <c r="C798">
        <v>1594737445</v>
      </c>
      <c r="D798">
        <v>15492965</v>
      </c>
    </row>
    <row r="799" spans="1:4" x14ac:dyDescent="0.25">
      <c r="A799" t="str">
        <f>T("   691390")</f>
        <v xml:space="preserve">   691390</v>
      </c>
      <c r="B799" t="str">
        <f>T("   Statuettes et autres objets d'ornementation en céramique autres que la porcelaine n.d.a.")</f>
        <v xml:space="preserve">   Statuettes et autres objets d'ornementation en céramique autres que la porcelaine n.d.a.</v>
      </c>
      <c r="C799">
        <v>1346686</v>
      </c>
      <c r="D799">
        <v>393</v>
      </c>
    </row>
    <row r="800" spans="1:4" x14ac:dyDescent="0.25">
      <c r="A800" t="str">
        <f>T("   700529")</f>
        <v xml:space="preserve">   700529</v>
      </c>
      <c r="B800" t="s">
        <v>318</v>
      </c>
      <c r="C800">
        <v>12171994</v>
      </c>
      <c r="D800">
        <v>45509</v>
      </c>
    </row>
    <row r="801" spans="1:4" x14ac:dyDescent="0.25">
      <c r="A801" t="str">
        <f>T("   700600")</f>
        <v xml:space="preserve">   700600</v>
      </c>
      <c r="B801" t="s">
        <v>319</v>
      </c>
      <c r="C801">
        <v>69313246</v>
      </c>
      <c r="D801">
        <v>695000</v>
      </c>
    </row>
    <row r="802" spans="1:4" x14ac:dyDescent="0.25">
      <c r="A802" t="str">
        <f>T("   700729")</f>
        <v xml:space="preserve">   700729</v>
      </c>
      <c r="B802" t="s">
        <v>322</v>
      </c>
      <c r="C802">
        <v>365063</v>
      </c>
      <c r="D802">
        <v>21</v>
      </c>
    </row>
    <row r="803" spans="1:4" x14ac:dyDescent="0.25">
      <c r="A803" t="str">
        <f>T("   700992")</f>
        <v xml:space="preserve">   700992</v>
      </c>
      <c r="B803" t="str">
        <f>T("   Miroirs, en verre encadrés (sauf miroirs rétroviseurs pour véhicules)")</f>
        <v xml:space="preserve">   Miroirs, en verre encadrés (sauf miroirs rétroviseurs pour véhicules)</v>
      </c>
      <c r="C803">
        <v>547072</v>
      </c>
      <c r="D803">
        <v>36</v>
      </c>
    </row>
    <row r="804" spans="1:4" x14ac:dyDescent="0.25">
      <c r="A804" t="str">
        <f>T("   701090")</f>
        <v xml:space="preserve">   701090</v>
      </c>
      <c r="B804" t="s">
        <v>323</v>
      </c>
      <c r="C804">
        <v>2330248</v>
      </c>
      <c r="D804">
        <v>3510</v>
      </c>
    </row>
    <row r="805" spans="1:4" x14ac:dyDescent="0.25">
      <c r="A805" t="str">
        <f>T("   701329")</f>
        <v xml:space="preserve">   701329</v>
      </c>
      <c r="B805" t="str">
        <f>T("   Verres à boire (autres qu'en vitrocérame, autres qu'en cristal au plomb)")</f>
        <v xml:space="preserve">   Verres à boire (autres qu'en vitrocérame, autres qu'en cristal au plomb)</v>
      </c>
      <c r="C805">
        <v>4820749</v>
      </c>
      <c r="D805">
        <v>1634</v>
      </c>
    </row>
    <row r="806" spans="1:4" x14ac:dyDescent="0.25">
      <c r="A806" t="str">
        <f>T("   701399")</f>
        <v xml:space="preserve">   701399</v>
      </c>
      <c r="B806" t="s">
        <v>328</v>
      </c>
      <c r="C806">
        <v>2141054</v>
      </c>
      <c r="D806">
        <v>626</v>
      </c>
    </row>
    <row r="807" spans="1:4" x14ac:dyDescent="0.25">
      <c r="A807" t="str">
        <f>T("   701690")</f>
        <v xml:space="preserve">   701690</v>
      </c>
      <c r="B807" t="s">
        <v>330</v>
      </c>
      <c r="C807">
        <v>5404226</v>
      </c>
      <c r="D807">
        <v>20100</v>
      </c>
    </row>
    <row r="808" spans="1:4" x14ac:dyDescent="0.25">
      <c r="A808" t="str">
        <f>T("   701790")</f>
        <v xml:space="preserve">   701790</v>
      </c>
      <c r="B808" t="s">
        <v>332</v>
      </c>
      <c r="C808">
        <v>396128</v>
      </c>
      <c r="D808">
        <v>10</v>
      </c>
    </row>
    <row r="809" spans="1:4" x14ac:dyDescent="0.25">
      <c r="A809" t="str">
        <f>T("   721049")</f>
        <v xml:space="preserve">   721049</v>
      </c>
      <c r="B809" t="str">
        <f>T("   Produits laminés plats, en fer ou en aciers non alliés, d'une largeur &gt;= 600 mm, laminés à chaud ou à froid, zingués, non ondulés (à l'excl. des produits zingués électrolytiquement)")</f>
        <v xml:space="preserve">   Produits laminés plats, en fer ou en aciers non alliés, d'une largeur &gt;= 600 mm, laminés à chaud ou à froid, zingués, non ondulés (à l'excl. des produits zingués électrolytiquement)</v>
      </c>
      <c r="C809">
        <v>635621964</v>
      </c>
      <c r="D809">
        <v>978965</v>
      </c>
    </row>
    <row r="810" spans="1:4" x14ac:dyDescent="0.25">
      <c r="A810" t="str">
        <f>T("   721069")</f>
        <v xml:space="preserve">   721069</v>
      </c>
      <c r="B810" t="str">
        <f>T("   Produits laminés plats, en fer ou aciers non alliés, d'une largeur &gt;= 600 mm, laminés à chaud ou à froid, revêtus d'aluminium (autres que revêtus d'alliages d'aluminium et de zinc)")</f>
        <v xml:space="preserve">   Produits laminés plats, en fer ou aciers non alliés, d'une largeur &gt;= 600 mm, laminés à chaud ou à froid, revêtus d'aluminium (autres que revêtus d'alliages d'aluminium et de zinc)</v>
      </c>
      <c r="C810">
        <v>681543</v>
      </c>
      <c r="D810">
        <v>260</v>
      </c>
    </row>
    <row r="811" spans="1:4" x14ac:dyDescent="0.25">
      <c r="A811" t="str">
        <f>T("   721190")</f>
        <v xml:space="preserve">   721190</v>
      </c>
      <c r="B811" t="str">
        <f>T("   PRODUITS LAMINÉS PLATS, EN FER OU EN ACIERS NON-ALLIÉS, D'UNE LARGEUR &lt; 600 MM, LAMINÉS À CHAUD OU À FROID ET AYANT SUBI CERTAINES OUVRAISONS PLUS POUSSÉES, MAIS NON-PLAQUÉS NI REVÊTUS")</f>
        <v xml:space="preserve">   PRODUITS LAMINÉS PLATS, EN FER OU EN ACIERS NON-ALLIÉS, D'UNE LARGEUR &lt; 600 MM, LAMINÉS À CHAUD OU À FROID ET AYANT SUBI CERTAINES OUVRAISONS PLUS POUSSÉES, MAIS NON-PLAQUÉS NI REVÊTUS</v>
      </c>
      <c r="C811">
        <v>3194056</v>
      </c>
      <c r="D811">
        <v>7891</v>
      </c>
    </row>
    <row r="812" spans="1:4" x14ac:dyDescent="0.25">
      <c r="A812" t="str">
        <f>T("   721391")</f>
        <v xml:space="preserve">   721391</v>
      </c>
      <c r="B812" t="str">
        <f>T("   FIL MACHINE EN FER OU ACIERS NON-ALLIÉS, ENROULÉ EN COURONNES IRRÉGULIÈRES, DE SECTION CIRCULAIRE DE DIAMÈTRE &lt; 14 MM (AUTRE QU'EN ACIERS DE DÉCOLLETAGE ET AUTRE QUE FIL MACHINE AVEC INDENTATIONS, BOURRELETS, CREUX OU RELIEFS OBTENUS LORS DU LAMINAGE)")</f>
        <v xml:space="preserve">   FIL MACHINE EN FER OU ACIERS NON-ALLIÉS, ENROULÉ EN COURONNES IRRÉGULIÈRES, DE SECTION CIRCULAIRE DE DIAMÈTRE &lt; 14 MM (AUTRE QU'EN ACIERS DE DÉCOLLETAGE ET AUTRE QUE FIL MACHINE AVEC INDENTATIONS, BOURRELETS, CREUX OU RELIEFS OBTENUS LORS DU LAMINAGE)</v>
      </c>
      <c r="C812">
        <v>3973705586</v>
      </c>
      <c r="D812">
        <v>10496550</v>
      </c>
    </row>
    <row r="813" spans="1:4" x14ac:dyDescent="0.25">
      <c r="A813" t="str">
        <f>T("   721399")</f>
        <v xml:space="preserve">   721399</v>
      </c>
      <c r="B813" t="s">
        <v>338</v>
      </c>
      <c r="C813">
        <v>6234936383</v>
      </c>
      <c r="D813">
        <v>16083984</v>
      </c>
    </row>
    <row r="814" spans="1:4" x14ac:dyDescent="0.25">
      <c r="A814" t="str">
        <f>T("   721420")</f>
        <v xml:space="preserve">   721420</v>
      </c>
      <c r="B814" t="str">
        <f>T("   BARRES EN FER OU EN ACIERS NON ALLIÉS, COMPORTANT DES INDENTATIONS, BOURRELETS, CREUX OU RELIEFS OBTENUS AU COURS DU LAMINAGE OU AYANT SUBI UNE TORSION APRÈS LAMINAGE")</f>
        <v xml:space="preserve">   BARRES EN FER OU EN ACIERS NON ALLIÉS, COMPORTANT DES INDENTATIONS, BOURRELETS, CREUX OU RELIEFS OBTENUS AU COURS DU LAMINAGE OU AYANT SUBI UNE TORSION APRÈS LAMINAGE</v>
      </c>
      <c r="C814">
        <v>108200602</v>
      </c>
      <c r="D814">
        <v>253640</v>
      </c>
    </row>
    <row r="815" spans="1:4" x14ac:dyDescent="0.25">
      <c r="A815" t="str">
        <f>T("   721610")</f>
        <v xml:space="preserve">   721610</v>
      </c>
      <c r="B815" t="str">
        <f>T("   PROFILÉS U, I OU H EN FER OU EN ACIERS NON ALLIÉS, SIMPLEMENT LAMINÉS OU FILÉS À CHAUD, HAUTEUR &lt; 80 MM")</f>
        <v xml:space="preserve">   PROFILÉS U, I OU H EN FER OU EN ACIERS NON ALLIÉS, SIMPLEMENT LAMINÉS OU FILÉS À CHAUD, HAUTEUR &lt; 80 MM</v>
      </c>
      <c r="C815">
        <v>9953572</v>
      </c>
      <c r="D815">
        <v>24527</v>
      </c>
    </row>
    <row r="816" spans="1:4" x14ac:dyDescent="0.25">
      <c r="A816" t="str">
        <f>T("   721621")</f>
        <v xml:space="preserve">   721621</v>
      </c>
      <c r="B816" t="str">
        <f>T("   PROFILÉS EN L EN FER OU ACIERS NON ALLIÉS, SIMPLEMENT LAMINÉS OU FILÉS À CHAUD, HAUTEUR &lt; 80 MM")</f>
        <v xml:space="preserve">   PROFILÉS EN L EN FER OU ACIERS NON ALLIÉS, SIMPLEMENT LAMINÉS OU FILÉS À CHAUD, HAUTEUR &lt; 80 MM</v>
      </c>
      <c r="C816">
        <v>9397208</v>
      </c>
      <c r="D816">
        <v>27292</v>
      </c>
    </row>
    <row r="817" spans="1:4" x14ac:dyDescent="0.25">
      <c r="A817" t="str">
        <f>T("   721631")</f>
        <v xml:space="preserve">   721631</v>
      </c>
      <c r="B817" t="str">
        <f>T("   PROFILÉS EN U, EN FER OU EN ACIERS NON-ALLIÉS, SIMPL. LAMINÉS OU FILÉS À CHAUD, D'UNE HAUTEUR &gt;= 80 MM")</f>
        <v xml:space="preserve">   PROFILÉS EN U, EN FER OU EN ACIERS NON-ALLIÉS, SIMPL. LAMINÉS OU FILÉS À CHAUD, D'UNE HAUTEUR &gt;= 80 MM</v>
      </c>
      <c r="C817">
        <v>3267045</v>
      </c>
      <c r="D817">
        <v>16043</v>
      </c>
    </row>
    <row r="818" spans="1:4" x14ac:dyDescent="0.25">
      <c r="A818" t="str">
        <f>T("   721632")</f>
        <v xml:space="preserve">   721632</v>
      </c>
      <c r="B818" t="str">
        <f>T("   PROFILÉS EN I, EN FER OU EN ACIERS NON-ALLIÉS, SIMPL. LAMINÉS OU FILÉS À CHAUD, D'UNE HAUTEUR &gt;= 80 MM")</f>
        <v xml:space="preserve">   PROFILÉS EN I, EN FER OU EN ACIERS NON-ALLIÉS, SIMPL. LAMINÉS OU FILÉS À CHAUD, D'UNE HAUTEUR &gt;= 80 MM</v>
      </c>
      <c r="C818">
        <v>9397198</v>
      </c>
      <c r="D818">
        <v>27736</v>
      </c>
    </row>
    <row r="819" spans="1:4" x14ac:dyDescent="0.25">
      <c r="A819" t="str">
        <f>T("   721650")</f>
        <v xml:space="preserve">   721650</v>
      </c>
      <c r="B819" t="str">
        <f>T("   PROFILÉS, EN FER OU EN ACIERS NON-ALLIÉS, SIMPL. LAMINÉS OU FILÉS À CHAUD (À L'EXCL. DES PROFILÉS EN U, EN I, EN H, EN L OU EN T)")</f>
        <v xml:space="preserve">   PROFILÉS, EN FER OU EN ACIERS NON-ALLIÉS, SIMPL. LAMINÉS OU FILÉS À CHAUD (À L'EXCL. DES PROFILÉS EN U, EN I, EN H, EN L OU EN T)</v>
      </c>
      <c r="C819">
        <v>102410280</v>
      </c>
      <c r="D819">
        <v>296202</v>
      </c>
    </row>
    <row r="820" spans="1:4" x14ac:dyDescent="0.25">
      <c r="A820" t="str">
        <f>T("   721699")</f>
        <v xml:space="preserve">   721699</v>
      </c>
      <c r="B820" t="s">
        <v>342</v>
      </c>
      <c r="C820">
        <v>642841</v>
      </c>
      <c r="D820">
        <v>300</v>
      </c>
    </row>
    <row r="821" spans="1:4" x14ac:dyDescent="0.25">
      <c r="A821" t="str">
        <f>T("   721790")</f>
        <v xml:space="preserve">   721790</v>
      </c>
      <c r="B821" t="str">
        <f>T("   FILS EN FER OU EN ACIERS NON-ALLIÉS, ENROULÉS, REVÊTUS (À L'EXCL. DU FIL MACHINE AINSI QUE DES FILS REVÊTUS DE MÉTAUX COMMUNS)")</f>
        <v xml:space="preserve">   FILS EN FER OU EN ACIERS NON-ALLIÉS, ENROULÉS, REVÊTUS (À L'EXCL. DU FIL MACHINE AINSI QUE DES FILS REVÊTUS DE MÉTAUX COMMUNS)</v>
      </c>
      <c r="C821">
        <v>12980372</v>
      </c>
      <c r="D821">
        <v>52000</v>
      </c>
    </row>
    <row r="822" spans="1:4" x14ac:dyDescent="0.25">
      <c r="A822" t="str">
        <f>T("   730490")</f>
        <v xml:space="preserve">   730490</v>
      </c>
      <c r="B822" t="str">
        <f>T("   Tubes, tuyaux et profilés creux, sans soudure, de section autre que circulaire, en fer (à l'excl. de la fonte) ou en acier")</f>
        <v xml:space="preserve">   Tubes, tuyaux et profilés creux, sans soudure, de section autre que circulaire, en fer (à l'excl. de la fonte) ou en acier</v>
      </c>
      <c r="C822">
        <v>255968</v>
      </c>
      <c r="D822">
        <v>8</v>
      </c>
    </row>
    <row r="823" spans="1:4" x14ac:dyDescent="0.25">
      <c r="A823" t="str">
        <f>T("   730630")</f>
        <v xml:space="preserve">   730630</v>
      </c>
      <c r="B823" t="s">
        <v>345</v>
      </c>
      <c r="C823">
        <v>14299969</v>
      </c>
      <c r="D823">
        <v>54000</v>
      </c>
    </row>
    <row r="824" spans="1:4" x14ac:dyDescent="0.25">
      <c r="A824" t="str">
        <f>T("   730640")</f>
        <v xml:space="preserve">   730640</v>
      </c>
      <c r="B824" t="s">
        <v>346</v>
      </c>
      <c r="C824">
        <v>178815</v>
      </c>
      <c r="D824">
        <v>119</v>
      </c>
    </row>
    <row r="825" spans="1:4" x14ac:dyDescent="0.25">
      <c r="A825" t="str">
        <f>T("   730719")</f>
        <v xml:space="preserve">   730719</v>
      </c>
      <c r="B825" t="str">
        <f>T("   Accessoires de tuyauterie moulés en fonte, fer ou acier (sauf fonte non-malléable)")</f>
        <v xml:space="preserve">   Accessoires de tuyauterie moulés en fonte, fer ou acier (sauf fonte non-malléable)</v>
      </c>
      <c r="C825">
        <v>951791</v>
      </c>
      <c r="D825">
        <v>5</v>
      </c>
    </row>
    <row r="826" spans="1:4" x14ac:dyDescent="0.25">
      <c r="A826" t="str">
        <f>T("   730723")</f>
        <v xml:space="preserve">   730723</v>
      </c>
      <c r="B826" t="str">
        <f>T("   ACCESSOIRES DE TUYAUTERIE EN ACIERS INOXYDABLES, À SOUDER BOUT À BOUT (NON-MOULÉS)")</f>
        <v xml:space="preserve">   ACCESSOIRES DE TUYAUTERIE EN ACIERS INOXYDABLES, À SOUDER BOUT À BOUT (NON-MOULÉS)</v>
      </c>
      <c r="C826">
        <v>12202824</v>
      </c>
      <c r="D826">
        <v>14</v>
      </c>
    </row>
    <row r="827" spans="1:4" x14ac:dyDescent="0.25">
      <c r="A827" t="str">
        <f>T("   730890")</f>
        <v xml:space="preserve">   730890</v>
      </c>
      <c r="B827" t="s">
        <v>349</v>
      </c>
      <c r="C827">
        <v>2288455</v>
      </c>
      <c r="D827">
        <v>3185</v>
      </c>
    </row>
    <row r="828" spans="1:4" x14ac:dyDescent="0.25">
      <c r="A828" t="str">
        <f>T("   731210")</f>
        <v xml:space="preserve">   731210</v>
      </c>
      <c r="B828" t="str">
        <f>T("   Torons et câbles en fer ou en acier (sauf produits isolés pour l'électricité et sauf fil barbelé pour clôtures et ronces artificielles)")</f>
        <v xml:space="preserve">   Torons et câbles en fer ou en acier (sauf produits isolés pour l'électricité et sauf fil barbelé pour clôtures et ronces artificielles)</v>
      </c>
      <c r="C828">
        <v>569373</v>
      </c>
      <c r="D828">
        <v>8</v>
      </c>
    </row>
    <row r="829" spans="1:4" x14ac:dyDescent="0.25">
      <c r="A829" t="str">
        <f>T("   731414")</f>
        <v xml:space="preserve">   731414</v>
      </c>
      <c r="B829" t="s">
        <v>351</v>
      </c>
      <c r="C829">
        <v>12119157</v>
      </c>
      <c r="D829">
        <v>534</v>
      </c>
    </row>
    <row r="830" spans="1:4" x14ac:dyDescent="0.25">
      <c r="A830" t="str">
        <f>T("   731512")</f>
        <v xml:space="preserve">   731512</v>
      </c>
      <c r="B830" t="str">
        <f>T("   Chaînes à maillons articulés en fonte, fer ou acier (autres qu'à rouleaux)")</f>
        <v xml:space="preserve">   Chaînes à maillons articulés en fonte, fer ou acier (autres qu'à rouleaux)</v>
      </c>
      <c r="C830">
        <v>409320</v>
      </c>
      <c r="D830">
        <v>26</v>
      </c>
    </row>
    <row r="831" spans="1:4" x14ac:dyDescent="0.25">
      <c r="A831" t="str">
        <f>T("   731589")</f>
        <v xml:space="preserve">   731589</v>
      </c>
      <c r="B831" t="s">
        <v>353</v>
      </c>
      <c r="C831">
        <v>327980</v>
      </c>
      <c r="D831">
        <v>1525</v>
      </c>
    </row>
    <row r="832" spans="1:4" x14ac:dyDescent="0.25">
      <c r="A832" t="str">
        <f>T("   731815")</f>
        <v xml:space="preserve">   731815</v>
      </c>
      <c r="B832" t="s">
        <v>354</v>
      </c>
      <c r="C832">
        <v>8861316</v>
      </c>
      <c r="D832">
        <v>920.9</v>
      </c>
    </row>
    <row r="833" spans="1:4" x14ac:dyDescent="0.25">
      <c r="A833" t="str">
        <f>T("   731816")</f>
        <v xml:space="preserve">   731816</v>
      </c>
      <c r="B833" t="str">
        <f>T("   ÉCROUS EN FONTE, FER OU ACIER")</f>
        <v xml:space="preserve">   ÉCROUS EN FONTE, FER OU ACIER</v>
      </c>
      <c r="C833">
        <v>4383348</v>
      </c>
      <c r="D833">
        <v>301.95</v>
      </c>
    </row>
    <row r="834" spans="1:4" x14ac:dyDescent="0.25">
      <c r="A834" t="str">
        <f>T("   731819")</f>
        <v xml:space="preserve">   731819</v>
      </c>
      <c r="B834" t="str">
        <f>T("   Articles de boulonnerie et de visserie, filetés, en fonte, fer ou acier, n.d.a.")</f>
        <v xml:space="preserve">   Articles de boulonnerie et de visserie, filetés, en fonte, fer ou acier, n.d.a.</v>
      </c>
      <c r="C834">
        <v>497782</v>
      </c>
      <c r="D834">
        <v>23</v>
      </c>
    </row>
    <row r="835" spans="1:4" x14ac:dyDescent="0.25">
      <c r="A835" t="str">
        <f>T("   731822")</f>
        <v xml:space="preserve">   731822</v>
      </c>
      <c r="B835" t="str">
        <f>T("   Rondelles en fonte, fer ou acier (sauf rondelles destinées à faire ressort et autres rondelles de blocage)")</f>
        <v xml:space="preserve">   Rondelles en fonte, fer ou acier (sauf rondelles destinées à faire ressort et autres rondelles de blocage)</v>
      </c>
      <c r="C835">
        <v>1254300</v>
      </c>
      <c r="D835">
        <v>38</v>
      </c>
    </row>
    <row r="836" spans="1:4" x14ac:dyDescent="0.25">
      <c r="A836" t="str">
        <f>T("   731824")</f>
        <v xml:space="preserve">   731824</v>
      </c>
      <c r="B836" t="str">
        <f>T("   Goupilles, chevilles et clavettes en fonte, fer ou acier")</f>
        <v xml:space="preserve">   Goupilles, chevilles et clavettes en fonte, fer ou acier</v>
      </c>
      <c r="C836">
        <v>874395</v>
      </c>
      <c r="D836">
        <v>85</v>
      </c>
    </row>
    <row r="837" spans="1:4" x14ac:dyDescent="0.25">
      <c r="A837" t="str">
        <f>T("   732090")</f>
        <v xml:space="preserve">   732090</v>
      </c>
      <c r="B837" t="s">
        <v>355</v>
      </c>
      <c r="C837">
        <v>5985313</v>
      </c>
      <c r="D837">
        <v>392</v>
      </c>
    </row>
    <row r="838" spans="1:4" x14ac:dyDescent="0.25">
      <c r="A838" t="str">
        <f>T("   732393")</f>
        <v xml:space="preserve">   732393</v>
      </c>
      <c r="B838" t="s">
        <v>360</v>
      </c>
      <c r="C838">
        <v>155463</v>
      </c>
      <c r="D838">
        <v>1400</v>
      </c>
    </row>
    <row r="839" spans="1:4" x14ac:dyDescent="0.25">
      <c r="A839" t="str">
        <f>T("   732394")</f>
        <v xml:space="preserve">   732394</v>
      </c>
      <c r="B839" t="s">
        <v>361</v>
      </c>
      <c r="C839">
        <v>6441506</v>
      </c>
      <c r="D839">
        <v>7254</v>
      </c>
    </row>
    <row r="840" spans="1:4" x14ac:dyDescent="0.25">
      <c r="A840" t="str">
        <f>T("   732399")</f>
        <v xml:space="preserve">   732399</v>
      </c>
      <c r="B840" t="s">
        <v>362</v>
      </c>
      <c r="C840">
        <v>111109239</v>
      </c>
      <c r="D840">
        <v>200303</v>
      </c>
    </row>
    <row r="841" spans="1:4" x14ac:dyDescent="0.25">
      <c r="A841" t="str">
        <f>T("   732510")</f>
        <v xml:space="preserve">   732510</v>
      </c>
      <c r="B841" t="str">
        <f>T("   OUVRAGES EN FER OU EN ACIER, EN FONTE NON-MALLÉABLE, MOULÉS, N.D.A.")</f>
        <v xml:space="preserve">   OUVRAGES EN FER OU EN ACIER, EN FONTE NON-MALLÉABLE, MOULÉS, N.D.A.</v>
      </c>
      <c r="C841">
        <v>2466410</v>
      </c>
      <c r="D841">
        <v>2680</v>
      </c>
    </row>
    <row r="842" spans="1:4" x14ac:dyDescent="0.25">
      <c r="A842" t="str">
        <f>T("   732591")</f>
        <v xml:space="preserve">   732591</v>
      </c>
      <c r="B842" t="str">
        <f>T("   Boulets et simil., pour broyeurs, moulés (sauf en fonte non malléable)")</f>
        <v xml:space="preserve">   Boulets et simil., pour broyeurs, moulés (sauf en fonte non malléable)</v>
      </c>
      <c r="C842">
        <v>145627712</v>
      </c>
      <c r="D842">
        <v>175746</v>
      </c>
    </row>
    <row r="843" spans="1:4" x14ac:dyDescent="0.25">
      <c r="A843" t="str">
        <f>T("   732599")</f>
        <v xml:space="preserve">   732599</v>
      </c>
      <c r="B843" t="str">
        <f>T("   OUVRAGES EN FONTE, FER OU ACIER, MOULÉS, N.D.A. (À L'EXCL. DE LA FONTE NON-MALLÉABLE ET SAUF BOULETS ET ARTICLES SIMIL. POUR BROYEURS)")</f>
        <v xml:space="preserve">   OUVRAGES EN FONTE, FER OU ACIER, MOULÉS, N.D.A. (À L'EXCL. DE LA FONTE NON-MALLÉABLE ET SAUF BOULETS ET ARTICLES SIMIL. POUR BROYEURS)</v>
      </c>
      <c r="C843">
        <v>26490558</v>
      </c>
      <c r="D843">
        <v>12060</v>
      </c>
    </row>
    <row r="844" spans="1:4" x14ac:dyDescent="0.25">
      <c r="A844" t="str">
        <f>T("   732690")</f>
        <v xml:space="preserve">   732690</v>
      </c>
      <c r="B844"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844">
        <v>2852206</v>
      </c>
      <c r="D844">
        <v>1756</v>
      </c>
    </row>
    <row r="845" spans="1:4" x14ac:dyDescent="0.25">
      <c r="A845" t="str">
        <f>T("   740721")</f>
        <v xml:space="preserve">   740721</v>
      </c>
      <c r="B845" t="str">
        <f>T("   Barres et profilés en alliages à base de cuivre-zinc -laiton-, n.d.a.")</f>
        <v xml:space="preserve">   Barres et profilés en alliages à base de cuivre-zinc -laiton-, n.d.a.</v>
      </c>
      <c r="C845">
        <v>40014</v>
      </c>
      <c r="D845">
        <v>12</v>
      </c>
    </row>
    <row r="846" spans="1:4" x14ac:dyDescent="0.25">
      <c r="A846" t="str">
        <f>T("   741820")</f>
        <v xml:space="preserve">   741820</v>
      </c>
      <c r="B846" t="str">
        <f>T("   Articles d'hygiène ou de toilette et leurs parties, en cuivre (sauf bidons, boîtes et récipients simil. du n° 7419 et sauf accessoires de tuyauterie)")</f>
        <v xml:space="preserve">   Articles d'hygiène ou de toilette et leurs parties, en cuivre (sauf bidons, boîtes et récipients simil. du n° 7419 et sauf accessoires de tuyauterie)</v>
      </c>
      <c r="C846">
        <v>1283058</v>
      </c>
      <c r="D846">
        <v>86</v>
      </c>
    </row>
    <row r="847" spans="1:4" x14ac:dyDescent="0.25">
      <c r="A847" t="str">
        <f>T("   741999")</f>
        <v xml:space="preserve">   741999</v>
      </c>
      <c r="B847" t="str">
        <f>T("   Ouvrages en cuivre, n.d.a.")</f>
        <v xml:space="preserve">   Ouvrages en cuivre, n.d.a.</v>
      </c>
      <c r="C847">
        <v>133816</v>
      </c>
      <c r="D847">
        <v>350</v>
      </c>
    </row>
    <row r="848" spans="1:4" x14ac:dyDescent="0.25">
      <c r="A848" t="str">
        <f>T("   750512")</f>
        <v xml:space="preserve">   750512</v>
      </c>
      <c r="B848" t="str">
        <f>T("   Barres et profilés en alliages de nickel, n.d.a. (sauf produits isolés pour l'électricité)")</f>
        <v xml:space="preserve">   Barres et profilés en alliages de nickel, n.d.a. (sauf produits isolés pour l'électricité)</v>
      </c>
      <c r="C848">
        <v>49853</v>
      </c>
      <c r="D848">
        <v>17</v>
      </c>
    </row>
    <row r="849" spans="1:4" x14ac:dyDescent="0.25">
      <c r="A849" t="str">
        <f>T("   750890")</f>
        <v xml:space="preserve">   750890</v>
      </c>
      <c r="B849" t="str">
        <f>T("   Ouvrages en nickel, n.d.a.")</f>
        <v xml:space="preserve">   Ouvrages en nickel, n.d.a.</v>
      </c>
      <c r="C849">
        <v>369306</v>
      </c>
      <c r="D849">
        <v>237</v>
      </c>
    </row>
    <row r="850" spans="1:4" x14ac:dyDescent="0.25">
      <c r="A850" t="str">
        <f>T("   761210")</f>
        <v xml:space="preserve">   761210</v>
      </c>
      <c r="B850" t="str">
        <f>T("   Etuis tubulaires souples en aluminium")</f>
        <v xml:space="preserve">   Etuis tubulaires souples en aluminium</v>
      </c>
      <c r="C850">
        <v>3936</v>
      </c>
      <c r="D850">
        <v>5</v>
      </c>
    </row>
    <row r="851" spans="1:4" x14ac:dyDescent="0.25">
      <c r="A851" t="str">
        <f>T("   761520")</f>
        <v xml:space="preserve">   761520</v>
      </c>
      <c r="B851" t="str">
        <f>T("   Articles d'hygiène ou de toilette, et leurs parties, en aluminium (sauf bidons, boîtes et récipients simil. du n° 7612 et sauf accessoires de tuyauterie)")</f>
        <v xml:space="preserve">   Articles d'hygiène ou de toilette, et leurs parties, en aluminium (sauf bidons, boîtes et récipients simil. du n° 7612 et sauf accessoires de tuyauterie)</v>
      </c>
      <c r="C851">
        <v>300000</v>
      </c>
      <c r="D851">
        <v>100</v>
      </c>
    </row>
    <row r="852" spans="1:4" x14ac:dyDescent="0.25">
      <c r="A852" t="str">
        <f>T("   790500")</f>
        <v xml:space="preserve">   790500</v>
      </c>
      <c r="B852" t="str">
        <f>T("   TOLES, BANDES ET FEUILLES EN ZINC")</f>
        <v xml:space="preserve">   TOLES, BANDES ET FEUILLES EN ZINC</v>
      </c>
      <c r="C852">
        <v>2215833</v>
      </c>
      <c r="D852">
        <v>1425</v>
      </c>
    </row>
    <row r="853" spans="1:4" x14ac:dyDescent="0.25">
      <c r="A853" t="str">
        <f>T("   790700")</f>
        <v xml:space="preserve">   790700</v>
      </c>
      <c r="B853" t="str">
        <f>T("   Ouvrages en zinc, n.d.a.")</f>
        <v xml:space="preserve">   Ouvrages en zinc, n.d.a.</v>
      </c>
      <c r="C853">
        <v>63791</v>
      </c>
      <c r="D853">
        <v>9</v>
      </c>
    </row>
    <row r="854" spans="1:4" x14ac:dyDescent="0.25">
      <c r="A854" t="str">
        <f>T("   800400")</f>
        <v xml:space="preserve">   800400</v>
      </c>
      <c r="B854" t="str">
        <f>T("   Tôles et bandes en étain, d'une épaisseur &gt; 0,2 mm")</f>
        <v xml:space="preserve">   Tôles et bandes en étain, d'une épaisseur &gt; 0,2 mm</v>
      </c>
      <c r="C854">
        <v>551321</v>
      </c>
      <c r="D854">
        <v>16</v>
      </c>
    </row>
    <row r="855" spans="1:4" x14ac:dyDescent="0.25">
      <c r="A855" t="str">
        <f>T("   820340")</f>
        <v xml:space="preserve">   820340</v>
      </c>
      <c r="B855" t="str">
        <f>T("   Coupe-tubes, coupe-boulons, emporte-pièce et outils simil., à main, en métaux communs")</f>
        <v xml:space="preserve">   Coupe-tubes, coupe-boulons, emporte-pièce et outils simil., à main, en métaux communs</v>
      </c>
      <c r="C855">
        <v>209907</v>
      </c>
      <c r="D855">
        <v>800</v>
      </c>
    </row>
    <row r="856" spans="1:4" x14ac:dyDescent="0.25">
      <c r="A856" t="str">
        <f>T("   820411")</f>
        <v xml:space="preserve">   820411</v>
      </c>
      <c r="B856" t="str">
        <f>T("   Clés de serrage à main, y.c. -les clés dynamométriques-, en métaux communs, à ouverture fixe")</f>
        <v xml:space="preserve">   Clés de serrage à main, y.c. -les clés dynamométriques-, en métaux communs, à ouverture fixe</v>
      </c>
      <c r="C856">
        <v>1208366</v>
      </c>
      <c r="D856">
        <v>6</v>
      </c>
    </row>
    <row r="857" spans="1:4" x14ac:dyDescent="0.25">
      <c r="A857" t="str">
        <f>T("   820520")</f>
        <v xml:space="preserve">   820520</v>
      </c>
      <c r="B857" t="str">
        <f>T("   Marteaux et masses, avec partie travaillante en métaux communs")</f>
        <v xml:space="preserve">   Marteaux et masses, avec partie travaillante en métaux communs</v>
      </c>
      <c r="C857">
        <v>432934</v>
      </c>
      <c r="D857">
        <v>46</v>
      </c>
    </row>
    <row r="858" spans="1:4" x14ac:dyDescent="0.25">
      <c r="A858" t="str">
        <f>T("   820559")</f>
        <v xml:space="preserve">   820559</v>
      </c>
      <c r="B858" t="str">
        <f>T("   Outils à main, y.c. -les diamants de vitrier-, en métaux communs, n.d.a.")</f>
        <v xml:space="preserve">   Outils à main, y.c. -les diamants de vitrier-, en métaux communs, n.d.a.</v>
      </c>
      <c r="C858">
        <v>5858379</v>
      </c>
      <c r="D858">
        <v>1240</v>
      </c>
    </row>
    <row r="859" spans="1:4" x14ac:dyDescent="0.25">
      <c r="A859" t="str">
        <f>T("   820570")</f>
        <v xml:space="preserve">   820570</v>
      </c>
      <c r="B859" t="str">
        <f>T("   Etaux, serre-joints et simil. (autres que ceux constituant des accessoires ou des parties de machines-outils)")</f>
        <v xml:space="preserve">   Etaux, serre-joints et simil. (autres que ceux constituant des accessoires ou des parties de machines-outils)</v>
      </c>
      <c r="C859">
        <v>71500</v>
      </c>
      <c r="D859">
        <v>3</v>
      </c>
    </row>
    <row r="860" spans="1:4" x14ac:dyDescent="0.25">
      <c r="A860" t="str">
        <f>T("   821599")</f>
        <v xml:space="preserve">   821599</v>
      </c>
      <c r="B860" t="s">
        <v>374</v>
      </c>
      <c r="C860">
        <v>446582</v>
      </c>
      <c r="D860">
        <v>550</v>
      </c>
    </row>
    <row r="861" spans="1:4" x14ac:dyDescent="0.25">
      <c r="A861" t="str">
        <f>T("   830140")</f>
        <v xml:space="preserve">   830140</v>
      </c>
      <c r="B861" t="str">
        <f>T("   Serrures et verrous, en métaux communs (autres que cadenas et serrures des types utilisés pour véhicules automobiles ou meubles)")</f>
        <v xml:space="preserve">   Serrures et verrous, en métaux communs (autres que cadenas et serrures des types utilisés pour véhicules automobiles ou meubles)</v>
      </c>
      <c r="C861">
        <v>135784</v>
      </c>
      <c r="D861">
        <v>79</v>
      </c>
    </row>
    <row r="862" spans="1:4" x14ac:dyDescent="0.25">
      <c r="A862" t="str">
        <f>T("   830170")</f>
        <v xml:space="preserve">   830170</v>
      </c>
      <c r="B862" t="str">
        <f>T("   Clefs présentées isolément, pour cadenas, serrures et verrous, ainsi que pour fermoirs et montures-fermoirs avec serrure, en métaux communs")</f>
        <v xml:space="preserve">   Clefs présentées isolément, pour cadenas, serrures et verrous, ainsi que pour fermoirs et montures-fermoirs avec serrure, en métaux communs</v>
      </c>
      <c r="C862">
        <v>133160</v>
      </c>
      <c r="D862">
        <v>0.25</v>
      </c>
    </row>
    <row r="863" spans="1:4" x14ac:dyDescent="0.25">
      <c r="A863" t="str">
        <f>T("   830242")</f>
        <v xml:space="preserve">   830242</v>
      </c>
      <c r="B863" t="str">
        <f>T("   GARNITURES, FERRURES ET SIMIL., POUR MEUBLES, EN MÉTAUX COMMUNS (SAUF SERRURES ET VERROUS DE S¹RETÉ À CLEF ET SAUF CHARNIÈRES ET ROULETTES)")</f>
        <v xml:space="preserve">   GARNITURES, FERRURES ET SIMIL., POUR MEUBLES, EN MÉTAUX COMMUNS (SAUF SERRURES ET VERROUS DE S¹RETÉ À CLEF ET SAUF CHARNIÈRES ET ROULETTES)</v>
      </c>
      <c r="C863">
        <v>500000</v>
      </c>
      <c r="D863">
        <v>200</v>
      </c>
    </row>
    <row r="864" spans="1:4" x14ac:dyDescent="0.25">
      <c r="A864" t="str">
        <f>T("   830710")</f>
        <v xml:space="preserve">   830710</v>
      </c>
      <c r="B864" t="str">
        <f>T("   Tuyaux flexibles en fer ou en acier, même avec accessoires")</f>
        <v xml:space="preserve">   Tuyaux flexibles en fer ou en acier, même avec accessoires</v>
      </c>
      <c r="C864">
        <v>119384</v>
      </c>
      <c r="D864">
        <v>8</v>
      </c>
    </row>
    <row r="865" spans="1:4" x14ac:dyDescent="0.25">
      <c r="A865" t="str">
        <f>T("   830790")</f>
        <v xml:space="preserve">   830790</v>
      </c>
      <c r="B865" t="str">
        <f>T("   Tuyaux flexibles en métaux communs autres que le fer ou l'acier, même avec accessoires")</f>
        <v xml:space="preserve">   Tuyaux flexibles en métaux communs autres que le fer ou l'acier, même avec accessoires</v>
      </c>
      <c r="C865">
        <v>188214</v>
      </c>
      <c r="D865">
        <v>1</v>
      </c>
    </row>
    <row r="866" spans="1:4" x14ac:dyDescent="0.25">
      <c r="A866" t="str">
        <f>T("   840729")</f>
        <v xml:space="preserve">   840729</v>
      </c>
      <c r="B866" t="s">
        <v>383</v>
      </c>
      <c r="C866">
        <v>450645</v>
      </c>
      <c r="D866">
        <v>350</v>
      </c>
    </row>
    <row r="867" spans="1:4" x14ac:dyDescent="0.25">
      <c r="A867" t="str">
        <f>T("   840790")</f>
        <v xml:space="preserve">   840790</v>
      </c>
      <c r="B867" t="s">
        <v>387</v>
      </c>
      <c r="C867">
        <v>2764265</v>
      </c>
      <c r="D867">
        <v>2242</v>
      </c>
    </row>
    <row r="868" spans="1:4" x14ac:dyDescent="0.25">
      <c r="A868" t="str">
        <f>T("   840820")</f>
        <v xml:space="preserve">   840820</v>
      </c>
      <c r="B868" t="s">
        <v>388</v>
      </c>
      <c r="C868">
        <v>2952476</v>
      </c>
      <c r="D868">
        <v>11000</v>
      </c>
    </row>
    <row r="869" spans="1:4" x14ac:dyDescent="0.25">
      <c r="A869" t="str">
        <f>T("   840890")</f>
        <v xml:space="preserve">   840890</v>
      </c>
      <c r="B869" t="s">
        <v>389</v>
      </c>
      <c r="C869">
        <v>14527503</v>
      </c>
      <c r="D869">
        <v>23019</v>
      </c>
    </row>
    <row r="870" spans="1:4" x14ac:dyDescent="0.25">
      <c r="A870" t="str">
        <f>T("   840999")</f>
        <v xml:space="preserve">   840999</v>
      </c>
      <c r="B870" t="str">
        <f>T("   Parties reconnaissables comme étant exclusivement ou principalement destinées aux moteurs à piston à allumage par compression, n.d.a.")</f>
        <v xml:space="preserve">   Parties reconnaissables comme étant exclusivement ou principalement destinées aux moteurs à piston à allumage par compression, n.d.a.</v>
      </c>
      <c r="C870">
        <v>9460812</v>
      </c>
      <c r="D870">
        <v>316.7</v>
      </c>
    </row>
    <row r="871" spans="1:4" x14ac:dyDescent="0.25">
      <c r="A871" t="str">
        <f>T("   841290")</f>
        <v xml:space="preserve">   841290</v>
      </c>
      <c r="B871" t="str">
        <f>T("   PARTIES DE MOTEURS ET MACHINES MOTRICES NON-ÉLECTRIQUES, N.D.A.")</f>
        <v xml:space="preserve">   PARTIES DE MOTEURS ET MACHINES MOTRICES NON-ÉLECTRIQUES, N.D.A.</v>
      </c>
      <c r="C871">
        <v>754354</v>
      </c>
      <c r="D871">
        <v>1950</v>
      </c>
    </row>
    <row r="872" spans="1:4" x14ac:dyDescent="0.25">
      <c r="A872" t="str">
        <f>T("   841319")</f>
        <v xml:space="preserve">   841319</v>
      </c>
      <c r="B872" t="str">
        <f>T("   Pompes pour liquides, avec dispositif mesureur ou conçues pour en comporter (sauf pompes pour la distribution de carburants ou lubrifiants, des types utilisés dans les stations-service ou les garages)")</f>
        <v xml:space="preserve">   Pompes pour liquides, avec dispositif mesureur ou conçues pour en comporter (sauf pompes pour la distribution de carburants ou lubrifiants, des types utilisés dans les stations-service ou les garages)</v>
      </c>
      <c r="C872">
        <v>162140</v>
      </c>
      <c r="D872">
        <v>5</v>
      </c>
    </row>
    <row r="873" spans="1:4" x14ac:dyDescent="0.25">
      <c r="A873" t="str">
        <f>T("   841330")</f>
        <v xml:space="preserve">   841330</v>
      </c>
      <c r="B873" t="str">
        <f>T("   Pompes à carburant, à huile ou à liquide de refroidissement pour moteurs à allumage par étincelles ou par compression")</f>
        <v xml:space="preserve">   Pompes à carburant, à huile ou à liquide de refroidissement pour moteurs à allumage par étincelles ou par compression</v>
      </c>
      <c r="C873">
        <v>18515704</v>
      </c>
      <c r="D873">
        <v>597</v>
      </c>
    </row>
    <row r="874" spans="1:4" x14ac:dyDescent="0.25">
      <c r="A874" t="str">
        <f>T("   841360")</f>
        <v xml:space="preserve">   841360</v>
      </c>
      <c r="B874" t="s">
        <v>391</v>
      </c>
      <c r="C874">
        <v>4515655</v>
      </c>
      <c r="D874">
        <v>107</v>
      </c>
    </row>
    <row r="875" spans="1:4" x14ac:dyDescent="0.25">
      <c r="A875" t="str">
        <f>T("   841381")</f>
        <v xml:space="preserve">   841381</v>
      </c>
      <c r="B875" t="s">
        <v>393</v>
      </c>
      <c r="C875">
        <v>25638138</v>
      </c>
      <c r="D875">
        <v>5239</v>
      </c>
    </row>
    <row r="876" spans="1:4" x14ac:dyDescent="0.25">
      <c r="A876" t="str">
        <f>T("   841382")</f>
        <v xml:space="preserve">   841382</v>
      </c>
      <c r="B876" t="str">
        <f>T("   Elévateurs à liquides (à l'excl. des pompes)")</f>
        <v xml:space="preserve">   Elévateurs à liquides (à l'excl. des pompes)</v>
      </c>
      <c r="C876">
        <v>4917010</v>
      </c>
      <c r="D876">
        <v>1163</v>
      </c>
    </row>
    <row r="877" spans="1:4" x14ac:dyDescent="0.25">
      <c r="A877" t="str">
        <f>T("   841391")</f>
        <v xml:space="preserve">   841391</v>
      </c>
      <c r="B877" t="str">
        <f>T("   Parties de pompes pour liquides, n.d.a.")</f>
        <v xml:space="preserve">   Parties de pompes pour liquides, n.d.a.</v>
      </c>
      <c r="C877">
        <v>167926</v>
      </c>
      <c r="D877">
        <v>11</v>
      </c>
    </row>
    <row r="878" spans="1:4" x14ac:dyDescent="0.25">
      <c r="A878" t="str">
        <f>T("   841430")</f>
        <v xml:space="preserve">   841430</v>
      </c>
      <c r="B878" t="str">
        <f>T("   Compresseurs des types utilisés pour équipements frigorifiques")</f>
        <v xml:space="preserve">   Compresseurs des types utilisés pour équipements frigorifiques</v>
      </c>
      <c r="C878">
        <v>36198177</v>
      </c>
      <c r="D878">
        <v>6749</v>
      </c>
    </row>
    <row r="879" spans="1:4" x14ac:dyDescent="0.25">
      <c r="A879" t="str">
        <f>T("   841440")</f>
        <v xml:space="preserve">   841440</v>
      </c>
      <c r="B879" t="str">
        <f>T("   Compresseurs d'air montés sur châssis à roues et remorquables")</f>
        <v xml:space="preserve">   Compresseurs d'air montés sur châssis à roues et remorquables</v>
      </c>
      <c r="C879">
        <v>43055706</v>
      </c>
      <c r="D879">
        <v>5772</v>
      </c>
    </row>
    <row r="880" spans="1:4" x14ac:dyDescent="0.25">
      <c r="A880" t="str">
        <f>T("   841451")</f>
        <v xml:space="preserve">   841451</v>
      </c>
      <c r="B880" t="str">
        <f>T("   Ventilateurs de table, de sol, muraux, plafonniers, de toitures ou de fenêtres, à moteur électrique incorporé, d'une puissance &lt;= 125 W")</f>
        <v xml:space="preserve">   Ventilateurs de table, de sol, muraux, plafonniers, de toitures ou de fenêtres, à moteur électrique incorporé, d'une puissance &lt;= 125 W</v>
      </c>
      <c r="C880">
        <v>572653</v>
      </c>
      <c r="D880">
        <v>59</v>
      </c>
    </row>
    <row r="881" spans="1:4" x14ac:dyDescent="0.25">
      <c r="A881" t="str">
        <f>T("   841480")</f>
        <v xml:space="preserve">   841480</v>
      </c>
      <c r="B881" t="s">
        <v>394</v>
      </c>
      <c r="C881">
        <v>905881</v>
      </c>
      <c r="D881">
        <v>292</v>
      </c>
    </row>
    <row r="882" spans="1:4" x14ac:dyDescent="0.25">
      <c r="A882" t="str">
        <f>T("   841490")</f>
        <v xml:space="preserve">   841490</v>
      </c>
      <c r="B882" t="str">
        <f>T("   Parties de pompes à air ou à vide, de compresseurs d'air ou d'autres gaz et de ventilateurs, de hottes aspirantes à extraction ou à recyclage, à ventilateur incorporé, n.d.a.")</f>
        <v xml:space="preserve">   Parties de pompes à air ou à vide, de compresseurs d'air ou d'autres gaz et de ventilateurs, de hottes aspirantes à extraction ou à recyclage, à ventilateur incorporé, n.d.a.</v>
      </c>
      <c r="C882">
        <v>37034434</v>
      </c>
      <c r="D882">
        <v>486</v>
      </c>
    </row>
    <row r="883" spans="1:4" x14ac:dyDescent="0.25">
      <c r="A883" t="str">
        <f>T("   841510")</f>
        <v xml:space="preserve">   841510</v>
      </c>
      <c r="B883" t="s">
        <v>395</v>
      </c>
      <c r="C883">
        <v>7144232</v>
      </c>
      <c r="D883">
        <v>1774</v>
      </c>
    </row>
    <row r="884" spans="1:4" x14ac:dyDescent="0.25">
      <c r="A884" t="str">
        <f>T("   841690")</f>
        <v xml:space="preserve">   841690</v>
      </c>
      <c r="B884" t="str">
        <f>T("   PARTIES DE BR¹LEURS POUR L'ALIMENTATION DES FOYERS ET DES FOYERS AUTOMATIQUES, DE LEURS AVANT-FOYERS, GRILLES MÉCANIQUES, DISPOSITIFS MÉCANIQUES POUR L'ÉVACUATION DES CENDRES ET DISPOSITIFS SIMIL., N.D.A.")</f>
        <v xml:space="preserve">   PARTIES DE BR¹LEURS POUR L'ALIMENTATION DES FOYERS ET DES FOYERS AUTOMATIQUES, DE LEURS AVANT-FOYERS, GRILLES MÉCANIQUES, DISPOSITIFS MÉCANIQUES POUR L'ÉVACUATION DES CENDRES ET DISPOSITIFS SIMIL., N.D.A.</v>
      </c>
      <c r="C884">
        <v>5300183</v>
      </c>
      <c r="D884">
        <v>27</v>
      </c>
    </row>
    <row r="885" spans="1:4" x14ac:dyDescent="0.25">
      <c r="A885" t="str">
        <f>T("   841810")</f>
        <v xml:space="preserve">   841810</v>
      </c>
      <c r="B885" t="str">
        <f>T("   Réfrigérateurs et congélateurs-conservateurs combinés, avec portes extérieures séparées")</f>
        <v xml:space="preserve">   Réfrigérateurs et congélateurs-conservateurs combinés, avec portes extérieures séparées</v>
      </c>
      <c r="C885">
        <v>4950932</v>
      </c>
      <c r="D885">
        <v>11040</v>
      </c>
    </row>
    <row r="886" spans="1:4" x14ac:dyDescent="0.25">
      <c r="A886" t="str">
        <f>T("   841821")</f>
        <v xml:space="preserve">   841821</v>
      </c>
      <c r="B886" t="str">
        <f>T("   Réfrigérateurs ménagers à compression")</f>
        <v xml:space="preserve">   Réfrigérateurs ménagers à compression</v>
      </c>
      <c r="C886">
        <v>1341382</v>
      </c>
      <c r="D886">
        <v>4595</v>
      </c>
    </row>
    <row r="887" spans="1:4" x14ac:dyDescent="0.25">
      <c r="A887" t="str">
        <f>T("   841829")</f>
        <v xml:space="preserve">   841829</v>
      </c>
      <c r="B887" t="str">
        <f>T("   Réfrigérateurs ménagers à absorption, non-électriques")</f>
        <v xml:space="preserve">   Réfrigérateurs ménagers à absorption, non-électriques</v>
      </c>
      <c r="C887">
        <v>33939418</v>
      </c>
      <c r="D887">
        <v>141272</v>
      </c>
    </row>
    <row r="888" spans="1:4" x14ac:dyDescent="0.25">
      <c r="A888" t="str">
        <f>T("   841830")</f>
        <v xml:space="preserve">   841830</v>
      </c>
      <c r="B888" t="str">
        <f>T("   Meubles congélateurs-conservateurs du type coffre, capacité &lt;= 800 l")</f>
        <v xml:space="preserve">   Meubles congélateurs-conservateurs du type coffre, capacité &lt;= 800 l</v>
      </c>
      <c r="C888">
        <v>30174</v>
      </c>
      <c r="D888">
        <v>77</v>
      </c>
    </row>
    <row r="889" spans="1:4" x14ac:dyDescent="0.25">
      <c r="A889" t="str">
        <f>T("   841861")</f>
        <v xml:space="preserve">   841861</v>
      </c>
      <c r="B889" t="str">
        <f>T("   Groupes à compression pour la production du froid, dont le condenseur est constitué par un échangeur de chaleur")</f>
        <v xml:space="preserve">   Groupes à compression pour la production du froid, dont le condenseur est constitué par un échangeur de chaleur</v>
      </c>
      <c r="C889">
        <v>14969007</v>
      </c>
      <c r="D889">
        <v>3100</v>
      </c>
    </row>
    <row r="890" spans="1:4" x14ac:dyDescent="0.25">
      <c r="A890" t="str">
        <f>T("   841869")</f>
        <v xml:space="preserve">   841869</v>
      </c>
      <c r="B890" t="str">
        <f>T("   Matériel, machines et appareils pour la production du froid ainsi que pompes à chaleur à absorption (autres que réfrigérateurs et meubles congélateurs-conservateurs)")</f>
        <v xml:space="preserve">   Matériel, machines et appareils pour la production du froid ainsi que pompes à chaleur à absorption (autres que réfrigérateurs et meubles congélateurs-conservateurs)</v>
      </c>
      <c r="C890">
        <v>29335843</v>
      </c>
      <c r="D890">
        <v>6000</v>
      </c>
    </row>
    <row r="891" spans="1:4" x14ac:dyDescent="0.25">
      <c r="A891" t="str">
        <f>T("   841891")</f>
        <v xml:space="preserve">   841891</v>
      </c>
      <c r="B891" t="str">
        <f>T("   Meubles conçus pour recevoir un équipement pour la production du froid")</f>
        <v xml:space="preserve">   Meubles conçus pour recevoir un équipement pour la production du froid</v>
      </c>
      <c r="C891">
        <v>26996689</v>
      </c>
      <c r="D891">
        <v>11560</v>
      </c>
    </row>
    <row r="892" spans="1:4" x14ac:dyDescent="0.25">
      <c r="A892" t="str">
        <f>T("   841899")</f>
        <v xml:space="preserve">   841899</v>
      </c>
      <c r="B892" t="str">
        <f>T("   Parties de réfrigérateurs et de congélateurs-conservateurs du type armoire et du type coffre et d'autres matériel, machines et appareils pour la production du froid, parties de pompes à chaleur, n.d.a.")</f>
        <v xml:space="preserve">   Parties de réfrigérateurs et de congélateurs-conservateurs du type armoire et du type coffre et d'autres matériel, machines et appareils pour la production du froid, parties de pompes à chaleur, n.d.a.</v>
      </c>
      <c r="C892">
        <v>791809</v>
      </c>
      <c r="D892">
        <v>550</v>
      </c>
    </row>
    <row r="893" spans="1:4" x14ac:dyDescent="0.25">
      <c r="A893" t="str">
        <f>T("   841990")</f>
        <v xml:space="preserve">   841990</v>
      </c>
      <c r="B893" t="str">
        <f>T("   Parties d'appareils et dispositifs, même chauffés électriquement, pour le traitement de matières par des opérations impliquant un changement de température, ainsi que de chauffe-eau non-électriques à chauffage instantané ou à accumulation, n.d.a.")</f>
        <v xml:space="preserve">   Parties d'appareils et dispositifs, même chauffés électriquement, pour le traitement de matières par des opérations impliquant un changement de température, ainsi que de chauffe-eau non-électriques à chauffage instantané ou à accumulation, n.d.a.</v>
      </c>
      <c r="C893">
        <v>4318841</v>
      </c>
      <c r="D893">
        <v>130</v>
      </c>
    </row>
    <row r="894" spans="1:4" x14ac:dyDescent="0.25">
      <c r="A894" t="str">
        <f>T("   842123")</f>
        <v xml:space="preserve">   842123</v>
      </c>
      <c r="B894" t="str">
        <f>T("   Appareils pour la filtration des huiles minérales et carburants pour les moteurs à allumage par étincelles ou par compression")</f>
        <v xml:space="preserve">   Appareils pour la filtration des huiles minérales et carburants pour les moteurs à allumage par étincelles ou par compression</v>
      </c>
      <c r="C894">
        <v>1087214</v>
      </c>
      <c r="D894">
        <v>41</v>
      </c>
    </row>
    <row r="895" spans="1:4" x14ac:dyDescent="0.25">
      <c r="A895" t="str">
        <f>T("   842129")</f>
        <v xml:space="preserve">   842129</v>
      </c>
      <c r="B895" t="str">
        <f>T("   Appareils pour la filtration ou l'épuration des liquides (à l'excl. de l'eau ou des boissons, des huiles minérales et carburants pour les moteurs à allumage par étincelles ou par compression ainsi que les reins artificiels)")</f>
        <v xml:space="preserve">   Appareils pour la filtration ou l'épuration des liquides (à l'excl. de l'eau ou des boissons, des huiles minérales et carburants pour les moteurs à allumage par étincelles ou par compression ainsi que les reins artificiels)</v>
      </c>
      <c r="C895">
        <v>5749835</v>
      </c>
      <c r="D895">
        <v>233</v>
      </c>
    </row>
    <row r="896" spans="1:4" x14ac:dyDescent="0.25">
      <c r="A896" t="str">
        <f>T("   842139")</f>
        <v xml:space="preserve">   842139</v>
      </c>
      <c r="B896" t="str">
        <f>T("   Appareils pour la filtration ou l'épuration des gaz (autres que pour la séparation isotopique et sauf les filtres d'entrée d'air pour moteurs à allumage par étincelles ou par compression)")</f>
        <v xml:space="preserve">   Appareils pour la filtration ou l'épuration des gaz (autres que pour la séparation isotopique et sauf les filtres d'entrée d'air pour moteurs à allumage par étincelles ou par compression)</v>
      </c>
      <c r="C896">
        <v>7768341</v>
      </c>
      <c r="D896">
        <v>912</v>
      </c>
    </row>
    <row r="897" spans="1:4" x14ac:dyDescent="0.25">
      <c r="A897" t="str">
        <f>T("   842230")</f>
        <v xml:space="preserve">   842230</v>
      </c>
      <c r="B897" t="str">
        <f>T("   Machines et appareils à remplir, fermer, boucher ou étiqueter les bouteilles, boîtes, sacs ou autres contenants; machines et appareils à capsuler les bouteilles, pots, tubes et contenants analogues; appareils à gazéifier les boissons")</f>
        <v xml:space="preserve">   Machines et appareils à remplir, fermer, boucher ou étiqueter les bouteilles, boîtes, sacs ou autres contenants; machines et appareils à capsuler les bouteilles, pots, tubes et contenants analogues; appareils à gazéifier les boissons</v>
      </c>
      <c r="C897">
        <v>647146521</v>
      </c>
      <c r="D897">
        <v>7640</v>
      </c>
    </row>
    <row r="898" spans="1:4" x14ac:dyDescent="0.25">
      <c r="A898" t="str">
        <f>T("   842290")</f>
        <v xml:space="preserve">   842290</v>
      </c>
      <c r="B898" t="str">
        <f>T("   Parties des machines à laver la vaisselle, des machines à empaqueter ou à emballer les marchandises et autres machines et appareils du n° 8422, n.d.a.")</f>
        <v xml:space="preserve">   Parties des machines à laver la vaisselle, des machines à empaqueter ou à emballer les marchandises et autres machines et appareils du n° 8422, n.d.a.</v>
      </c>
      <c r="C898">
        <v>48124362</v>
      </c>
      <c r="D898">
        <v>1872</v>
      </c>
    </row>
    <row r="899" spans="1:4" x14ac:dyDescent="0.25">
      <c r="A899" t="str">
        <f>T("   842310")</f>
        <v xml:space="preserve">   842310</v>
      </c>
      <c r="B899" t="str">
        <f>T("   Pèse-personnes, y.c. les pèse-bébés; balances de ménage")</f>
        <v xml:space="preserve">   Pèse-personnes, y.c. les pèse-bébés; balances de ménage</v>
      </c>
      <c r="C899">
        <v>70844</v>
      </c>
      <c r="D899">
        <v>20</v>
      </c>
    </row>
    <row r="900" spans="1:4" x14ac:dyDescent="0.25">
      <c r="A900" t="str">
        <f>T("   842430")</f>
        <v xml:space="preserve">   842430</v>
      </c>
      <c r="B900" t="s">
        <v>405</v>
      </c>
      <c r="C900">
        <v>1412741</v>
      </c>
      <c r="D900">
        <v>43</v>
      </c>
    </row>
    <row r="901" spans="1:4" x14ac:dyDescent="0.25">
      <c r="A901" t="str">
        <f>T("   842489")</f>
        <v xml:space="preserve">   842489</v>
      </c>
      <c r="B901" t="str">
        <f>T("   Machines et appareils mécaniques, même à main, à projeter, disperser ou pulvériser des matières liquides ou en poudre, n.d.a.")</f>
        <v xml:space="preserve">   Machines et appareils mécaniques, même à main, à projeter, disperser ou pulvériser des matières liquides ou en poudre, n.d.a.</v>
      </c>
      <c r="C901">
        <v>21853632</v>
      </c>
      <c r="D901">
        <v>286</v>
      </c>
    </row>
    <row r="902" spans="1:4" x14ac:dyDescent="0.25">
      <c r="A902" t="str">
        <f>T("   842519")</f>
        <v xml:space="preserve">   842519</v>
      </c>
      <c r="B902" t="str">
        <f>T("   Palans autres qu'à moteur électrique")</f>
        <v xml:space="preserve">   Palans autres qu'à moteur électrique</v>
      </c>
      <c r="C902">
        <v>3435767</v>
      </c>
      <c r="D902">
        <v>1252</v>
      </c>
    </row>
    <row r="903" spans="1:4" x14ac:dyDescent="0.25">
      <c r="A903" t="str">
        <f>T("   842539")</f>
        <v xml:space="preserve">   842539</v>
      </c>
      <c r="B903" t="str">
        <f>T("   Treuils et cabestans, autres qu'à moteur électrique (sauf treuils pour puits de mines et sauf treuils spécialement conçus pour mines au fond)")</f>
        <v xml:space="preserve">   Treuils et cabestans, autres qu'à moteur électrique (sauf treuils pour puits de mines et sauf treuils spécialement conçus pour mines au fond)</v>
      </c>
      <c r="C903">
        <v>320000</v>
      </c>
      <c r="D903">
        <v>2000</v>
      </c>
    </row>
    <row r="904" spans="1:4" x14ac:dyDescent="0.25">
      <c r="A904" t="str">
        <f>T("   842541")</f>
        <v xml:space="preserve">   842541</v>
      </c>
      <c r="B904" t="str">
        <f>T("   Elévateurs fixes des types utilisés dans les garages pour voitures")</f>
        <v xml:space="preserve">   Elévateurs fixes des types utilisés dans les garages pour voitures</v>
      </c>
      <c r="C904">
        <v>25582</v>
      </c>
      <c r="D904">
        <v>50</v>
      </c>
    </row>
    <row r="905" spans="1:4" x14ac:dyDescent="0.25">
      <c r="A905" t="str">
        <f>T("   842649")</f>
        <v xml:space="preserve">   842649</v>
      </c>
      <c r="B905" t="str">
        <f>T("   Bigues et chariots-grues et appareils autopropulsés (autres que sur pneumatiques et sauf chariots-cavaliers)")</f>
        <v xml:space="preserve">   Bigues et chariots-grues et appareils autopropulsés (autres que sur pneumatiques et sauf chariots-cavaliers)</v>
      </c>
      <c r="C905">
        <v>209859971</v>
      </c>
      <c r="D905">
        <v>72000</v>
      </c>
    </row>
    <row r="906" spans="1:4" x14ac:dyDescent="0.25">
      <c r="A906" t="str">
        <f>T("   842720")</f>
        <v xml:space="preserve">   842720</v>
      </c>
      <c r="B906" t="str">
        <f>T("   Chariots de manutention autopropulsés, autres qu'à moteur électrique, avec dispositif de levage")</f>
        <v xml:space="preserve">   Chariots de manutention autopropulsés, autres qu'à moteur électrique, avec dispositif de levage</v>
      </c>
      <c r="C906">
        <v>310796472</v>
      </c>
      <c r="D906">
        <v>75090</v>
      </c>
    </row>
    <row r="907" spans="1:4" x14ac:dyDescent="0.25">
      <c r="A907" t="str">
        <f>T("   842790")</f>
        <v xml:space="preserve">   842790</v>
      </c>
      <c r="B907" t="str">
        <f>T("   Chariots de manutention munis d'un dispositif de levage mais non autopropulsés")</f>
        <v xml:space="preserve">   Chariots de manutention munis d'un dispositif de levage mais non autopropulsés</v>
      </c>
      <c r="C907">
        <v>488690</v>
      </c>
      <c r="D907">
        <v>436</v>
      </c>
    </row>
    <row r="908" spans="1:4" x14ac:dyDescent="0.25">
      <c r="A908" t="str">
        <f>T("   842810")</f>
        <v xml:space="preserve">   842810</v>
      </c>
      <c r="B908" t="str">
        <f>T("   Ascenseurs et monte-charge")</f>
        <v xml:space="preserve">   Ascenseurs et monte-charge</v>
      </c>
      <c r="C908">
        <v>16114969</v>
      </c>
      <c r="D908">
        <v>4000</v>
      </c>
    </row>
    <row r="909" spans="1:4" x14ac:dyDescent="0.25">
      <c r="A909" t="str">
        <f>T("   842833")</f>
        <v xml:space="preserve">   842833</v>
      </c>
      <c r="B909" t="str">
        <f>T("   Appareils élévateurs, transporteurs ou convoyeurs pour marchandises, à action continue, à bande ou à courroie (autres que conçus pour mines au fond et autres travaux souterrains)")</f>
        <v xml:space="preserve">   Appareils élévateurs, transporteurs ou convoyeurs pour marchandises, à action continue, à bande ou à courroie (autres que conçus pour mines au fond et autres travaux souterrains)</v>
      </c>
      <c r="C909">
        <v>4132548</v>
      </c>
      <c r="D909">
        <v>580</v>
      </c>
    </row>
    <row r="910" spans="1:4" x14ac:dyDescent="0.25">
      <c r="A910" t="str">
        <f>T("   842839")</f>
        <v xml:space="preserve">   842839</v>
      </c>
      <c r="B910" t="str">
        <f>T("   Appareils élévateurs, transporteurs ou convoyeurs pour marchandises, à action continue (autres que conçus pour mines au fond ou pour autres travaux souterrains, autres qu'à benne, à bande ou à courroie et autres que pneumatiques)")</f>
        <v xml:space="preserve">   Appareils élévateurs, transporteurs ou convoyeurs pour marchandises, à action continue (autres que conçus pour mines au fond ou pour autres travaux souterrains, autres qu'à benne, à bande ou à courroie et autres que pneumatiques)</v>
      </c>
      <c r="C910">
        <v>64507106</v>
      </c>
      <c r="D910">
        <v>14000</v>
      </c>
    </row>
    <row r="911" spans="1:4" x14ac:dyDescent="0.25">
      <c r="A911" t="str">
        <f>T("   842911")</f>
        <v xml:space="preserve">   842911</v>
      </c>
      <c r="B911" t="str">
        <f>T("   Bouteurs 'bulldozers' et bouteurs biais 'angledozers', à chenilles")</f>
        <v xml:space="preserve">   Bouteurs 'bulldozers' et bouteurs biais 'angledozers', à chenilles</v>
      </c>
      <c r="C911">
        <v>5004975</v>
      </c>
      <c r="D911">
        <v>5000</v>
      </c>
    </row>
    <row r="912" spans="1:4" x14ac:dyDescent="0.25">
      <c r="A912" t="str">
        <f>T("   842920")</f>
        <v xml:space="preserve">   842920</v>
      </c>
      <c r="B912" t="str">
        <f>T("   Niveleuses autopropulsées")</f>
        <v xml:space="preserve">   Niveleuses autopropulsées</v>
      </c>
      <c r="C912">
        <v>49197000</v>
      </c>
      <c r="D912">
        <v>14500</v>
      </c>
    </row>
    <row r="913" spans="1:4" x14ac:dyDescent="0.25">
      <c r="A913" t="str">
        <f>T("   842940")</f>
        <v xml:space="preserve">   842940</v>
      </c>
      <c r="B913" t="str">
        <f>T("   Rouleaux compresseurs et autres compacteuses, autopropulsés")</f>
        <v xml:space="preserve">   Rouleaux compresseurs et autres compacteuses, autopropulsés</v>
      </c>
      <c r="C913">
        <v>225337293</v>
      </c>
      <c r="D913">
        <v>73548</v>
      </c>
    </row>
    <row r="914" spans="1:4" x14ac:dyDescent="0.25">
      <c r="A914" t="str">
        <f>T("   842951")</f>
        <v xml:space="preserve">   842951</v>
      </c>
      <c r="B914" t="str">
        <f>T("   Chargeuses et chargeuses-pelleteuses, à chargement frontal, autopropulsées")</f>
        <v xml:space="preserve">   Chargeuses et chargeuses-pelleteuses, à chargement frontal, autopropulsées</v>
      </c>
      <c r="C914">
        <v>328681587</v>
      </c>
      <c r="D914">
        <v>88413</v>
      </c>
    </row>
    <row r="915" spans="1:4" x14ac:dyDescent="0.25">
      <c r="A915" t="str">
        <f>T("   842959")</f>
        <v xml:space="preserve">   842959</v>
      </c>
      <c r="B915" t="str">
        <f>T("   PELLES MÉCANIQUES, EXCAVATEURS, CHARGEUSES ET CHARGEUSES-PELLETEUSES, AUTOPROPULSÉS (SAUF PELLES-MÉCANIQUES DONT LA SUPERSTRUCTURE PEUT EFFECTUER UNE ROTATION DE 360¦ ET SAUF CHARGEUSES À CHARGEMENT FRONTAL)")</f>
        <v xml:space="preserve">   PELLES MÉCANIQUES, EXCAVATEURS, CHARGEUSES ET CHARGEUSES-PELLETEUSES, AUTOPROPULSÉS (SAUF PELLES-MÉCANIQUES DONT LA SUPERSTRUCTURE PEUT EFFECTUER UNE ROTATION DE 360¦ ET SAUF CHARGEUSES À CHARGEMENT FRONTAL)</v>
      </c>
      <c r="C915">
        <v>104638977</v>
      </c>
      <c r="D915">
        <v>107986</v>
      </c>
    </row>
    <row r="916" spans="1:4" x14ac:dyDescent="0.25">
      <c r="A916" t="str">
        <f>T("   843049")</f>
        <v xml:space="preserve">   843049</v>
      </c>
      <c r="B916" t="str">
        <f>T("   Machines de sondage ou de forage de la terre, des minéraux ou des minerais non autopropulsées et non hydrauliques (à l'excl. des machines à creuser les tunnels et autres machines à creuser les galeries, et sauf outillage pour emploi à la main)")</f>
        <v xml:space="preserve">   Machines de sondage ou de forage de la terre, des minéraux ou des minerais non autopropulsées et non hydrauliques (à l'excl. des machines à creuser les tunnels et autres machines à creuser les galeries, et sauf outillage pour emploi à la main)</v>
      </c>
      <c r="C916">
        <v>655960</v>
      </c>
      <c r="D916">
        <v>2000</v>
      </c>
    </row>
    <row r="917" spans="1:4" x14ac:dyDescent="0.25">
      <c r="A917" t="str">
        <f>T("   843069")</f>
        <v xml:space="preserve">   843069</v>
      </c>
      <c r="B917" t="str">
        <f>T("   Machines et appareils de terrassement, nivellement, décapage, excavation, compactage, extraction ou forage de la terre, des minéraux ou des minerais, non autopropulsés, n.d.a.")</f>
        <v xml:space="preserve">   Machines et appareils de terrassement, nivellement, décapage, excavation, compactage, extraction ou forage de la terre, des minéraux ou des minerais, non autopropulsés, n.d.a.</v>
      </c>
      <c r="C917">
        <v>125000</v>
      </c>
      <c r="D917">
        <v>200</v>
      </c>
    </row>
    <row r="918" spans="1:4" x14ac:dyDescent="0.25">
      <c r="A918" t="str">
        <f>T("   843120")</f>
        <v xml:space="preserve">   843120</v>
      </c>
      <c r="B918" t="str">
        <f>T("   Parties de chariots-gerbeurs et autres chariots de manutention munis d'un dispositif de levage, n.d.a.")</f>
        <v xml:space="preserve">   Parties de chariots-gerbeurs et autres chariots de manutention munis d'un dispositif de levage, n.d.a.</v>
      </c>
      <c r="C918">
        <v>16434691</v>
      </c>
      <c r="D918">
        <v>415.13</v>
      </c>
    </row>
    <row r="919" spans="1:4" x14ac:dyDescent="0.25">
      <c r="A919" t="str">
        <f>T("   843139")</f>
        <v xml:space="preserve">   843139</v>
      </c>
      <c r="B919" t="str">
        <f>T("   Parties de machines et appareils du n° 8428, n.d.a.")</f>
        <v xml:space="preserve">   Parties de machines et appareils du n° 8428, n.d.a.</v>
      </c>
      <c r="C919">
        <v>1336690</v>
      </c>
      <c r="D919">
        <v>91</v>
      </c>
    </row>
    <row r="920" spans="1:4" x14ac:dyDescent="0.25">
      <c r="A920" t="str">
        <f>T("   843149")</f>
        <v xml:space="preserve">   843149</v>
      </c>
      <c r="B920" t="str">
        <f>T("   Parties de machines et appareils du n° 8426, 8429 ou 8430, n.d.a.")</f>
        <v xml:space="preserve">   Parties de machines et appareils du n° 8426, 8429 ou 8430, n.d.a.</v>
      </c>
      <c r="C920">
        <v>209328441</v>
      </c>
      <c r="D920">
        <v>16568.599999999999</v>
      </c>
    </row>
    <row r="921" spans="1:4" x14ac:dyDescent="0.25">
      <c r="A921" t="str">
        <f>T("   843229")</f>
        <v xml:space="preserve">   843229</v>
      </c>
      <c r="B921" t="str">
        <f>T("   Herses, scarificateurs, cultivateurs, extirpateurs, houes, sarcleuses et bineuses pour l'agriculture, la sylviculture ou l'horticulture (à l'excl. des herses à disques)")</f>
        <v xml:space="preserve">   Herses, scarificateurs, cultivateurs, extirpateurs, houes, sarcleuses et bineuses pour l'agriculture, la sylviculture ou l'horticulture (à l'excl. des herses à disques)</v>
      </c>
      <c r="C921">
        <v>1500000</v>
      </c>
      <c r="D921">
        <v>1500</v>
      </c>
    </row>
    <row r="922" spans="1:4" x14ac:dyDescent="0.25">
      <c r="A922" t="str">
        <f>T("   843280")</f>
        <v xml:space="preserve">   843280</v>
      </c>
      <c r="B922" t="s">
        <v>409</v>
      </c>
      <c r="C922">
        <v>2000000</v>
      </c>
      <c r="D922">
        <v>2500</v>
      </c>
    </row>
    <row r="923" spans="1:4" x14ac:dyDescent="0.25">
      <c r="A923" t="str">
        <f>T("   843790")</f>
        <v xml:space="preserve">   843790</v>
      </c>
      <c r="B923" t="str">
        <f>T("   Parties de machines et appareils de minoterie ou pour le traitement des céréales ou légumes secs ou pour le nettoyage, le triage ou le criblage des grains ou des légumes secs, n.d.a.")</f>
        <v xml:space="preserve">   Parties de machines et appareils de minoterie ou pour le traitement des céréales ou légumes secs ou pour le nettoyage, le triage ou le criblage des grains ou des légumes secs, n.d.a.</v>
      </c>
      <c r="C923">
        <v>4540839</v>
      </c>
      <c r="D923">
        <v>491</v>
      </c>
    </row>
    <row r="924" spans="1:4" x14ac:dyDescent="0.25">
      <c r="A924" t="str">
        <f>T("   843840")</f>
        <v xml:space="preserve">   843840</v>
      </c>
      <c r="B924" t="str">
        <f>T("   Machines et appareils pour la brasserie (sauf centrifugeuses et sauf appareils de filtrage, appareils thermiques et appareils de refroidissement)")</f>
        <v xml:space="preserve">   Machines et appareils pour la brasserie (sauf centrifugeuses et sauf appareils de filtrage, appareils thermiques et appareils de refroidissement)</v>
      </c>
      <c r="C924">
        <v>696574420</v>
      </c>
      <c r="D924">
        <v>59180</v>
      </c>
    </row>
    <row r="925" spans="1:4" x14ac:dyDescent="0.25">
      <c r="A925" t="str">
        <f>T("   843890")</f>
        <v xml:space="preserve">   843890</v>
      </c>
      <c r="B925" t="str">
        <f>T("   Parties des machines et appareils pour le traitement, la préparation ou la fabrication industriels d'aliments ou de boissons, n.d.a.")</f>
        <v xml:space="preserve">   Parties des machines et appareils pour le traitement, la préparation ou la fabrication industriels d'aliments ou de boissons, n.d.a.</v>
      </c>
      <c r="C925">
        <v>8563296</v>
      </c>
      <c r="D925">
        <v>77</v>
      </c>
    </row>
    <row r="926" spans="1:4" x14ac:dyDescent="0.25">
      <c r="A926" t="str">
        <f>T("   844010")</f>
        <v xml:space="preserve">   844010</v>
      </c>
      <c r="B926" t="s">
        <v>415</v>
      </c>
      <c r="C926">
        <v>9394666</v>
      </c>
      <c r="D926">
        <v>3800</v>
      </c>
    </row>
    <row r="927" spans="1:4" x14ac:dyDescent="0.25">
      <c r="A927" t="str">
        <f>T("   844180")</f>
        <v xml:space="preserve">   844180</v>
      </c>
      <c r="B927" t="str">
        <f>T("   Machines et appareils pour le travail de la pâte à papier, du papier ou du carton, n.d.a.")</f>
        <v xml:space="preserve">   Machines et appareils pour le travail de la pâte à papier, du papier ou du carton, n.d.a.</v>
      </c>
      <c r="C927">
        <v>68876</v>
      </c>
      <c r="D927">
        <v>1500</v>
      </c>
    </row>
    <row r="928" spans="1:4" x14ac:dyDescent="0.25">
      <c r="A928" t="str">
        <f>T("   844250")</f>
        <v xml:space="preserve">   844250</v>
      </c>
      <c r="B928" t="str">
        <f>T("   PLANCHES, CYLINDRES ET AUTRES ORGANES IMPRIMANTS; PIERRES LITHOGRAPHIQUES, PLANCHES, PLAQUES ET CYLINDRES PRÉPARÉS POUR L'IMPRESSION -PLANÉS, GRENÉS, POLIS, P.EX.-")</f>
        <v xml:space="preserve">   PLANCHES, CYLINDRES ET AUTRES ORGANES IMPRIMANTS; PIERRES LITHOGRAPHIQUES, PLANCHES, PLAQUES ET CYLINDRES PRÉPARÉS POUR L'IMPRESSION -PLANÉS, GRENÉS, POLIS, P.EX.-</v>
      </c>
      <c r="C928">
        <v>17882204</v>
      </c>
      <c r="D928">
        <v>2624</v>
      </c>
    </row>
    <row r="929" spans="1:4" x14ac:dyDescent="0.25">
      <c r="A929" t="str">
        <f>T("   844351")</f>
        <v xml:space="preserve">   844351</v>
      </c>
      <c r="B929" t="str">
        <f>T("   Machines à imprimer à jet d'encre")</f>
        <v xml:space="preserve">   Machines à imprimer à jet d'encre</v>
      </c>
      <c r="C929">
        <v>291909</v>
      </c>
      <c r="D929">
        <v>628</v>
      </c>
    </row>
    <row r="930" spans="1:4" x14ac:dyDescent="0.25">
      <c r="A930" t="str">
        <f>T("   845019")</f>
        <v xml:space="preserve">   845019</v>
      </c>
      <c r="B930" t="str">
        <f>T("   Machines à laver le linge d'une capacité unitaire exprimée en poids de linge sec &lt;= 6 kg (à l'excl. des machines entièrement automatiques et des machines à laver le linge avec essoreuse centrifuge incorporée)")</f>
        <v xml:space="preserve">   Machines à laver le linge d'une capacité unitaire exprimée en poids de linge sec &lt;= 6 kg (à l'excl. des machines entièrement automatiques et des machines à laver le linge avec essoreuse centrifuge incorporée)</v>
      </c>
      <c r="C930">
        <v>1662152</v>
      </c>
      <c r="D930">
        <v>11600</v>
      </c>
    </row>
    <row r="931" spans="1:4" x14ac:dyDescent="0.25">
      <c r="A931" t="str">
        <f>T("   845510")</f>
        <v xml:space="preserve">   845510</v>
      </c>
      <c r="B931" t="str">
        <f>T("   Laminoirs à métaux, à tubes en métal")</f>
        <v xml:space="preserve">   Laminoirs à métaux, à tubes en métal</v>
      </c>
      <c r="C931">
        <v>2656638</v>
      </c>
      <c r="D931">
        <v>90</v>
      </c>
    </row>
    <row r="932" spans="1:4" x14ac:dyDescent="0.25">
      <c r="A932" t="str">
        <f>T("   845699")</f>
        <v xml:space="preserve">   845699</v>
      </c>
      <c r="B932" t="s">
        <v>422</v>
      </c>
      <c r="C932">
        <v>892105</v>
      </c>
      <c r="D932">
        <v>341</v>
      </c>
    </row>
    <row r="933" spans="1:4" x14ac:dyDescent="0.25">
      <c r="A933" t="str">
        <f>T("   845929")</f>
        <v xml:space="preserve">   845929</v>
      </c>
      <c r="B933" t="s">
        <v>424</v>
      </c>
      <c r="C933">
        <v>17941364</v>
      </c>
      <c r="D933">
        <v>2419</v>
      </c>
    </row>
    <row r="934" spans="1:4" x14ac:dyDescent="0.25">
      <c r="A934" t="str">
        <f>T("   846299")</f>
        <v xml:space="preserve">   846299</v>
      </c>
      <c r="B934" t="str">
        <f>T("   Presses autres qu'hydrauliques pour le travail des métaux (à l'excl. des presses à forger, à rouler, à cintrer, dresser ou planer)")</f>
        <v xml:space="preserve">   Presses autres qu'hydrauliques pour le travail des métaux (à l'excl. des presses à forger, à rouler, à cintrer, dresser ou planer)</v>
      </c>
      <c r="C934">
        <v>637593</v>
      </c>
      <c r="D934">
        <v>100</v>
      </c>
    </row>
    <row r="935" spans="1:4" x14ac:dyDescent="0.25">
      <c r="A935" t="str">
        <f>T("   846390")</f>
        <v xml:space="preserve">   846390</v>
      </c>
      <c r="B935" t="s">
        <v>426</v>
      </c>
      <c r="C935">
        <v>600203</v>
      </c>
      <c r="D935">
        <v>8000</v>
      </c>
    </row>
    <row r="936" spans="1:4" x14ac:dyDescent="0.25">
      <c r="A936" t="str">
        <f>T("   846591")</f>
        <v xml:space="preserve">   846591</v>
      </c>
      <c r="B936" t="str">
        <f>T("   Machines à scier, pour le travail du bois, des matières plastiques dures, etc. (autres que pour emploi à la main)")</f>
        <v xml:space="preserve">   Machines à scier, pour le travail du bois, des matières plastiques dures, etc. (autres que pour emploi à la main)</v>
      </c>
      <c r="C936">
        <v>1836688</v>
      </c>
      <c r="D936">
        <v>1328</v>
      </c>
    </row>
    <row r="937" spans="1:4" x14ac:dyDescent="0.25">
      <c r="A937" t="str">
        <f>T("   846592")</f>
        <v xml:space="preserve">   846592</v>
      </c>
      <c r="B937" t="s">
        <v>428</v>
      </c>
      <c r="C937">
        <v>787153</v>
      </c>
      <c r="D937">
        <v>520</v>
      </c>
    </row>
    <row r="938" spans="1:4" x14ac:dyDescent="0.25">
      <c r="A938" t="str">
        <f>T("   846593")</f>
        <v xml:space="preserve">   846593</v>
      </c>
      <c r="B938" t="str">
        <f>T("   Machines à meuler, à poncer ou à polir, pour le travail du bois, des matières plastiques dures, etc. (autres que machines pour emploi à la main)")</f>
        <v xml:space="preserve">   Machines à meuler, à poncer ou à polir, pour le travail du bois, des matières plastiques dures, etc. (autres que machines pour emploi à la main)</v>
      </c>
      <c r="C938">
        <v>1180728</v>
      </c>
      <c r="D938">
        <v>785</v>
      </c>
    </row>
    <row r="939" spans="1:4" x14ac:dyDescent="0.25">
      <c r="A939" t="str">
        <f>T("   846595")</f>
        <v xml:space="preserve">   846595</v>
      </c>
      <c r="B939" t="s">
        <v>429</v>
      </c>
      <c r="C939">
        <v>1500181</v>
      </c>
      <c r="D939">
        <v>1000</v>
      </c>
    </row>
    <row r="940" spans="1:4" x14ac:dyDescent="0.25">
      <c r="A940" t="str">
        <f>T("   846599")</f>
        <v xml:space="preserve">   846599</v>
      </c>
      <c r="B940" t="s">
        <v>430</v>
      </c>
      <c r="C940">
        <v>983940</v>
      </c>
      <c r="D940">
        <v>555</v>
      </c>
    </row>
    <row r="941" spans="1:4" x14ac:dyDescent="0.25">
      <c r="A941" t="str">
        <f>T("   846880")</f>
        <v xml:space="preserve">   846880</v>
      </c>
      <c r="B941" t="str">
        <f>T("   Machines et appareils pour le brasage ou le soudage (autres qu'aux gaz et à l'excl. des machines ou appareils pour le brasage ou le soudage électriques du n° 8515)")</f>
        <v xml:space="preserve">   Machines et appareils pour le brasage ou le soudage (autres qu'aux gaz et à l'excl. des machines ou appareils pour le brasage ou le soudage électriques du n° 8515)</v>
      </c>
      <c r="C941">
        <v>5280478</v>
      </c>
      <c r="D941">
        <v>500</v>
      </c>
    </row>
    <row r="942" spans="1:4" x14ac:dyDescent="0.25">
      <c r="A942" t="str">
        <f>T("   847110")</f>
        <v xml:space="preserve">   847110</v>
      </c>
      <c r="B942" t="str">
        <f>T("   Machines automatiques de traitement de l'information, analogiques ou hybrides")</f>
        <v xml:space="preserve">   Machines automatiques de traitement de l'information, analogiques ou hybrides</v>
      </c>
      <c r="C942">
        <v>360778</v>
      </c>
      <c r="D942">
        <v>3360</v>
      </c>
    </row>
    <row r="943" spans="1:4" x14ac:dyDescent="0.25">
      <c r="A943" t="str">
        <f>T("   847130")</f>
        <v xml:space="preserve">   847130</v>
      </c>
      <c r="B943" t="str">
        <f>T("   Machines automatiques de traitement de l'information numériques, portatives, d'un poids &lt;= 10 kg, comportant au moins une unité centrale de traitement, un clavier et un écran (à l'excl. des unités périphériques)")</f>
        <v xml:space="preserve">   Machines automatiques de traitement de l'information numériques, portatives, d'un poids &lt;= 10 kg, comportant au moins une unité centrale de traitement, un clavier et un écran (à l'excl. des unités périphériques)</v>
      </c>
      <c r="C943">
        <v>17000000</v>
      </c>
      <c r="D943">
        <v>20000</v>
      </c>
    </row>
    <row r="944" spans="1:4" x14ac:dyDescent="0.25">
      <c r="A944" t="str">
        <f>T("   847141")</f>
        <v xml:space="preserve">   847141</v>
      </c>
      <c r="B944" t="s">
        <v>433</v>
      </c>
      <c r="C944">
        <v>1314544</v>
      </c>
      <c r="D944">
        <v>3650</v>
      </c>
    </row>
    <row r="945" spans="1:4" x14ac:dyDescent="0.25">
      <c r="A945" t="str">
        <f>T("   847149")</f>
        <v xml:space="preserve">   847149</v>
      </c>
      <c r="B945" t="s">
        <v>434</v>
      </c>
      <c r="C945">
        <v>10200178</v>
      </c>
      <c r="D945">
        <v>945</v>
      </c>
    </row>
    <row r="946" spans="1:4" x14ac:dyDescent="0.25">
      <c r="A946" t="str">
        <f>T("   847180")</f>
        <v xml:space="preserve">   847180</v>
      </c>
      <c r="B946" t="str">
        <f>T("   Unités de machines automatiques de traitement de l'information, numériques (à l'excl. des unités de traitement, unités d'entrée ou de sortie et unités de mémoire)")</f>
        <v xml:space="preserve">   Unités de machines automatiques de traitement de l'information, numériques (à l'excl. des unités de traitement, unités d'entrée ou de sortie et unités de mémoire)</v>
      </c>
      <c r="C946">
        <v>39748654</v>
      </c>
      <c r="D946">
        <v>8540</v>
      </c>
    </row>
    <row r="947" spans="1:4" x14ac:dyDescent="0.25">
      <c r="A947" t="str">
        <f>T("   847190")</f>
        <v xml:space="preserve">   847190</v>
      </c>
      <c r="B947"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947">
        <v>4697092</v>
      </c>
      <c r="D947">
        <v>1444.5</v>
      </c>
    </row>
    <row r="948" spans="1:4" x14ac:dyDescent="0.25">
      <c r="A948" t="str">
        <f>T("   847290")</f>
        <v xml:space="preserve">   847290</v>
      </c>
      <c r="B948" t="str">
        <f>T("   Machines et appareils de bureau, n.d.a.")</f>
        <v xml:space="preserve">   Machines et appareils de bureau, n.d.a.</v>
      </c>
      <c r="C948">
        <v>932498</v>
      </c>
      <c r="D948">
        <v>344</v>
      </c>
    </row>
    <row r="949" spans="1:4" x14ac:dyDescent="0.25">
      <c r="A949" t="str">
        <f>T("   847410")</f>
        <v xml:space="preserve">   847410</v>
      </c>
      <c r="B949" t="str">
        <f>T("   Machines et appareils à trier, cribler, séparer ou laver les matières minérales solides, y.c. -les poudres et les pâtes- (à l'excl. des centrifugeuses et des filtres-presses)")</f>
        <v xml:space="preserve">   Machines et appareils à trier, cribler, séparer ou laver les matières minérales solides, y.c. -les poudres et les pâtes- (à l'excl. des centrifugeuses et des filtres-presses)</v>
      </c>
      <c r="C949">
        <v>11525217</v>
      </c>
      <c r="D949">
        <v>2500</v>
      </c>
    </row>
    <row r="950" spans="1:4" x14ac:dyDescent="0.25">
      <c r="A950" t="str">
        <f>T("   847420")</f>
        <v xml:space="preserve">   847420</v>
      </c>
      <c r="B950" t="str">
        <f>T("   Machines et appareils à concasser, broyer ou pulvériser les matières minérales solides")</f>
        <v xml:space="preserve">   Machines et appareils à concasser, broyer ou pulvériser les matières minérales solides</v>
      </c>
      <c r="C950">
        <v>62778652</v>
      </c>
      <c r="D950">
        <v>90500</v>
      </c>
    </row>
    <row r="951" spans="1:4" x14ac:dyDescent="0.25">
      <c r="A951" t="str">
        <f>T("   847431")</f>
        <v xml:space="preserve">   847431</v>
      </c>
      <c r="B951" t="str">
        <f>T("   Bétonnières et appareils à gâcher le ciment (sauf montés sur wagons de chemins de fer ou sur châssis de véhicules automobiles)")</f>
        <v xml:space="preserve">   Bétonnières et appareils à gâcher le ciment (sauf montés sur wagons de chemins de fer ou sur châssis de véhicules automobiles)</v>
      </c>
      <c r="C951">
        <v>89825850</v>
      </c>
      <c r="D951">
        <v>19950</v>
      </c>
    </row>
    <row r="952" spans="1:4" x14ac:dyDescent="0.25">
      <c r="A952" t="str">
        <f>T("   847432")</f>
        <v xml:space="preserve">   847432</v>
      </c>
      <c r="B952" t="str">
        <f>T("   Machines à mélanger les matières minérales au bitume")</f>
        <v xml:space="preserve">   Machines à mélanger les matières minérales au bitume</v>
      </c>
      <c r="C952">
        <v>123320480</v>
      </c>
      <c r="D952">
        <v>10500</v>
      </c>
    </row>
    <row r="953" spans="1:4" x14ac:dyDescent="0.25">
      <c r="A953" t="str">
        <f>T("   847490")</f>
        <v xml:space="preserve">   847490</v>
      </c>
      <c r="B953" t="str">
        <f>T("   Parties des machines et appareils pour le travail des matières minérales du n° 8474, n.d.a.")</f>
        <v xml:space="preserve">   Parties des machines et appareils pour le travail des matières minérales du n° 8474, n.d.a.</v>
      </c>
      <c r="C953">
        <v>113829759</v>
      </c>
      <c r="D953">
        <v>18475</v>
      </c>
    </row>
    <row r="954" spans="1:4" x14ac:dyDescent="0.25">
      <c r="A954" t="str">
        <f>T("   847780")</f>
        <v xml:space="preserve">   847780</v>
      </c>
      <c r="B954" t="str">
        <f>T("   MACHINES ET APPAREILS POUR LE TRAVAIL DU CAOUTCHOUC OU DES MATIÈRES PLASTIQUES OU POUR LA FABRICATION DE PRODUITS EN CES MATIÈRES N.D.A. DANS LE CHAPITRE 84")</f>
        <v xml:space="preserve">   MACHINES ET APPAREILS POUR LE TRAVAIL DU CAOUTCHOUC OU DES MATIÈRES PLASTIQUES OU POUR LA FABRICATION DE PRODUITS EN CES MATIÈRES N.D.A. DANS LE CHAPITRE 84</v>
      </c>
      <c r="C954">
        <v>2582993</v>
      </c>
      <c r="D954">
        <v>412</v>
      </c>
    </row>
    <row r="955" spans="1:4" x14ac:dyDescent="0.25">
      <c r="A955" t="str">
        <f>T("   847790")</f>
        <v xml:space="preserve">   847790</v>
      </c>
      <c r="B955" t="str">
        <f>T("   Parties des machines et appareils pour le travail du caoutchouc ou des matières plastiques ou pour la fabrication de produits en ces matières, n.d.a.")</f>
        <v xml:space="preserve">   Parties des machines et appareils pour le travail du caoutchouc ou des matières plastiques ou pour la fabrication de produits en ces matières, n.d.a.</v>
      </c>
      <c r="C955">
        <v>118930738</v>
      </c>
      <c r="D955">
        <v>1094</v>
      </c>
    </row>
    <row r="956" spans="1:4" x14ac:dyDescent="0.25">
      <c r="A956" t="str">
        <f>T("   847910")</f>
        <v xml:space="preserve">   847910</v>
      </c>
      <c r="B956" t="str">
        <f>T("   Machines et appareils pour les travaux publics, le bâtiment ou les travaux analogues, n.d.a.")</f>
        <v xml:space="preserve">   Machines et appareils pour les travaux publics, le bâtiment ou les travaux analogues, n.d.a.</v>
      </c>
      <c r="C956">
        <v>9360000</v>
      </c>
      <c r="D956">
        <v>6000</v>
      </c>
    </row>
    <row r="957" spans="1:4" x14ac:dyDescent="0.25">
      <c r="A957" t="str">
        <f>T("   847982")</f>
        <v xml:space="preserve">   847982</v>
      </c>
      <c r="B957" t="str">
        <f>T("   Machines et appareils à mélanger, malaxer, concasser, broyer, cribler, tamiser, homogénéiser, émulsionner ou brasser, n.d.a. (à l'excl. des robots industriels)")</f>
        <v xml:space="preserve">   Machines et appareils à mélanger, malaxer, concasser, broyer, cribler, tamiser, homogénéiser, émulsionner ou brasser, n.d.a. (à l'excl. des robots industriels)</v>
      </c>
      <c r="C957">
        <v>580780</v>
      </c>
      <c r="D957">
        <v>10</v>
      </c>
    </row>
    <row r="958" spans="1:4" x14ac:dyDescent="0.25">
      <c r="A958" t="str">
        <f>T("   848071")</f>
        <v xml:space="preserve">   848071</v>
      </c>
      <c r="B958" t="str">
        <f>T("   Moules pour le caoutchouc ou les matières plastiques, pour le moulage par injection ou par compression")</f>
        <v xml:space="preserve">   Moules pour le caoutchouc ou les matières plastiques, pour le moulage par injection ou par compression</v>
      </c>
      <c r="C958">
        <v>144981575</v>
      </c>
      <c r="D958">
        <v>1504</v>
      </c>
    </row>
    <row r="959" spans="1:4" x14ac:dyDescent="0.25">
      <c r="A959" t="str">
        <f>T("   848079")</f>
        <v xml:space="preserve">   848079</v>
      </c>
      <c r="B959" t="s">
        <v>441</v>
      </c>
      <c r="C959">
        <v>1431305</v>
      </c>
      <c r="D959">
        <v>360</v>
      </c>
    </row>
    <row r="960" spans="1:4" x14ac:dyDescent="0.25">
      <c r="A960" t="str">
        <f>T("   848120")</f>
        <v xml:space="preserve">   848120</v>
      </c>
      <c r="B960" t="str">
        <f>T("   Valves pour transmissions oléohydrauliques ou pneumatiques")</f>
        <v xml:space="preserve">   Valves pour transmissions oléohydrauliques ou pneumatiques</v>
      </c>
      <c r="C960">
        <v>6985913</v>
      </c>
      <c r="D960">
        <v>251</v>
      </c>
    </row>
    <row r="961" spans="1:4" x14ac:dyDescent="0.25">
      <c r="A961" t="str">
        <f>T("   848130")</f>
        <v xml:space="preserve">   848130</v>
      </c>
      <c r="B961" t="str">
        <f>T("   Clapets et soupapes de retenue, pour tuyauteries, chaudières, réservoirs, cuves ou contenants simil.")</f>
        <v xml:space="preserve">   Clapets et soupapes de retenue, pour tuyauteries, chaudières, réservoirs, cuves ou contenants simil.</v>
      </c>
      <c r="C961">
        <v>2243206</v>
      </c>
      <c r="D961">
        <v>24</v>
      </c>
    </row>
    <row r="962" spans="1:4" x14ac:dyDescent="0.25">
      <c r="A962" t="str">
        <f>T("   848180")</f>
        <v xml:space="preserve">   848180</v>
      </c>
      <c r="B962" t="str">
        <f>T("   Articles de robinetterie et organes simil. pour tuyauteries, etc. (à l'excl. des détendeurs, valves pour transmissions oléohydrauliques ou pneumatiques, clapets et soupapes de retenue et sauf soupapes de trop-plein ou de sûreté)")</f>
        <v xml:space="preserve">   Articles de robinetterie et organes simil. pour tuyauteries, etc. (à l'excl. des détendeurs, valves pour transmissions oléohydrauliques ou pneumatiques, clapets et soupapes de retenue et sauf soupapes de trop-plein ou de sûreté)</v>
      </c>
      <c r="C962">
        <v>57029355</v>
      </c>
      <c r="D962">
        <v>3699</v>
      </c>
    </row>
    <row r="963" spans="1:4" x14ac:dyDescent="0.25">
      <c r="A963" t="str">
        <f>T("   848210")</f>
        <v xml:space="preserve">   848210</v>
      </c>
      <c r="B963" t="str">
        <f>T("   Roulements à billes")</f>
        <v xml:space="preserve">   Roulements à billes</v>
      </c>
      <c r="C963">
        <v>526336</v>
      </c>
      <c r="D963">
        <v>9</v>
      </c>
    </row>
    <row r="964" spans="1:4" x14ac:dyDescent="0.25">
      <c r="A964" t="str">
        <f>T("   848250")</f>
        <v xml:space="preserve">   848250</v>
      </c>
      <c r="B964" t="str">
        <f>T("   Roulements à rouleaux cylindriques")</f>
        <v xml:space="preserve">   Roulements à rouleaux cylindriques</v>
      </c>
      <c r="C964">
        <v>348420</v>
      </c>
      <c r="D964">
        <v>6</v>
      </c>
    </row>
    <row r="965" spans="1:4" x14ac:dyDescent="0.25">
      <c r="A965" t="str">
        <f>T("   848280")</f>
        <v xml:space="preserve">   848280</v>
      </c>
      <c r="B965" t="s">
        <v>442</v>
      </c>
      <c r="C965">
        <v>6093304</v>
      </c>
      <c r="D965">
        <v>266</v>
      </c>
    </row>
    <row r="966" spans="1:4" x14ac:dyDescent="0.25">
      <c r="A966" t="str">
        <f>T("   848299")</f>
        <v xml:space="preserve">   848299</v>
      </c>
      <c r="B966" t="str">
        <f>T("   Parties de roulements à billes, à galets, à rouleaux ou à aiguilles (à l'excl. de leur organe de roulement), n.d.a.")</f>
        <v xml:space="preserve">   Parties de roulements à billes, à galets, à rouleaux ou à aiguilles (à l'excl. de leur organe de roulement), n.d.a.</v>
      </c>
      <c r="C966">
        <v>4870801</v>
      </c>
      <c r="D966">
        <v>140.30000000000001</v>
      </c>
    </row>
    <row r="967" spans="1:4" x14ac:dyDescent="0.25">
      <c r="A967" t="str">
        <f>T("   848310")</f>
        <v xml:space="preserve">   848310</v>
      </c>
      <c r="B967" t="str">
        <f>T("   Arbres de transmission pour machines, y.c. -les arbres à cames et les vilebrequins- et manivelles")</f>
        <v xml:space="preserve">   Arbres de transmission pour machines, y.c. -les arbres à cames et les vilebrequins- et manivelles</v>
      </c>
      <c r="C967">
        <v>2515642</v>
      </c>
      <c r="D967">
        <v>18</v>
      </c>
    </row>
    <row r="968" spans="1:4" x14ac:dyDescent="0.25">
      <c r="A968" t="str">
        <f>T("   848320")</f>
        <v xml:space="preserve">   848320</v>
      </c>
      <c r="B968" t="str">
        <f>T("   Paliers à roulements incorporés, pour machines")</f>
        <v xml:space="preserve">   Paliers à roulements incorporés, pour machines</v>
      </c>
      <c r="C968">
        <v>639640</v>
      </c>
      <c r="D968">
        <v>15</v>
      </c>
    </row>
    <row r="969" spans="1:4" x14ac:dyDescent="0.25">
      <c r="A969" t="str">
        <f>T("   848330")</f>
        <v xml:space="preserve">   848330</v>
      </c>
      <c r="B969" t="str">
        <f>T("   Paliers pour machines, sans roulements incorporés; coussinets et coquilles de coussinets pour machines")</f>
        <v xml:space="preserve">   Paliers pour machines, sans roulements incorporés; coussinets et coquilles de coussinets pour machines</v>
      </c>
      <c r="C969">
        <v>1420865</v>
      </c>
      <c r="D969">
        <v>2.2000000000000002</v>
      </c>
    </row>
    <row r="970" spans="1:4" x14ac:dyDescent="0.25">
      <c r="A970" t="str">
        <f>T("   848340")</f>
        <v xml:space="preserve">   848340</v>
      </c>
      <c r="B970" t="s">
        <v>443</v>
      </c>
      <c r="C970">
        <v>290590</v>
      </c>
      <c r="D970">
        <v>18</v>
      </c>
    </row>
    <row r="971" spans="1:4" x14ac:dyDescent="0.25">
      <c r="A971" t="str">
        <f>T("   848360")</f>
        <v xml:space="preserve">   848360</v>
      </c>
      <c r="B971" t="str">
        <f>T("   Embrayages et organes d'accouplement, y.c. les joints d'articulation, pour machines")</f>
        <v xml:space="preserve">   Embrayages et organes d'accouplement, y.c. les joints d'articulation, pour machines</v>
      </c>
      <c r="C971">
        <v>22412942</v>
      </c>
      <c r="D971">
        <v>814.42</v>
      </c>
    </row>
    <row r="972" spans="1:4" x14ac:dyDescent="0.25">
      <c r="A972" t="str">
        <f>T("   848390")</f>
        <v xml:space="preserve">   848390</v>
      </c>
      <c r="B972" t="str">
        <f>T("   Roues dentées et autres organes élémentaires de transmission présentés séparément; parties d'organes mécaniques, d'organes de transmission, d'engrenages, de variateurs de vitesses, d'organes d'accouplement et d'autres organes du n° 8483, n.d.a.")</f>
        <v xml:space="preserve">   Roues dentées et autres organes élémentaires de transmission présentés séparément; parties d'organes mécaniques, d'organes de transmission, d'engrenages, de variateurs de vitesses, d'organes d'accouplement et d'autres organes du n° 8483, n.d.a.</v>
      </c>
      <c r="C972">
        <v>431982</v>
      </c>
      <c r="D972">
        <v>8.1999999999999993</v>
      </c>
    </row>
    <row r="973" spans="1:4" x14ac:dyDescent="0.25">
      <c r="A973" t="str">
        <f>T("   848410")</f>
        <v xml:space="preserve">   848410</v>
      </c>
      <c r="B973" t="str">
        <f>T("   Joints métalloplastiques")</f>
        <v xml:space="preserve">   Joints métalloplastiques</v>
      </c>
      <c r="C973">
        <v>97672</v>
      </c>
      <c r="D973">
        <v>1.6</v>
      </c>
    </row>
    <row r="974" spans="1:4" x14ac:dyDescent="0.25">
      <c r="A974" t="str">
        <f>T("   848420")</f>
        <v xml:space="preserve">   848420</v>
      </c>
      <c r="B974" t="str">
        <f>T("   Joints d'étanchéité mécaniques")</f>
        <v xml:space="preserve">   Joints d'étanchéité mécaniques</v>
      </c>
      <c r="C974">
        <v>3195063</v>
      </c>
      <c r="D974">
        <v>55</v>
      </c>
    </row>
    <row r="975" spans="1:4" x14ac:dyDescent="0.25">
      <c r="A975" t="str">
        <f>T("   848490")</f>
        <v xml:space="preserve">   848490</v>
      </c>
      <c r="B975" t="str">
        <f>T("   Jeux ou assortiments de joints de composition différente présentés en pochettes, enveloppes ou emballages analogues")</f>
        <v xml:space="preserve">   Jeux ou assortiments de joints de composition différente présentés en pochettes, enveloppes ou emballages analogues</v>
      </c>
      <c r="C975">
        <v>31786334</v>
      </c>
      <c r="D975">
        <v>1169.5</v>
      </c>
    </row>
    <row r="976" spans="1:4" x14ac:dyDescent="0.25">
      <c r="A976" t="str">
        <f>T("   850131")</f>
        <v xml:space="preserve">   850131</v>
      </c>
      <c r="B976" t="str">
        <f>T("   Moteurs à courant continu, puissance &lt;= 750 W mais &gt; 37,5 W et génératrices à courant continu, puissance &lt;= 750 W")</f>
        <v xml:space="preserve">   Moteurs à courant continu, puissance &lt;= 750 W mais &gt; 37,5 W et génératrices à courant continu, puissance &lt;= 750 W</v>
      </c>
      <c r="C976">
        <v>1563152</v>
      </c>
      <c r="D976">
        <v>36</v>
      </c>
    </row>
    <row r="977" spans="1:4" x14ac:dyDescent="0.25">
      <c r="A977" t="str">
        <f>T("   850140")</f>
        <v xml:space="preserve">   850140</v>
      </c>
      <c r="B977" t="str">
        <f>T("   Moteurs à courant alternatif, monophasés")</f>
        <v xml:space="preserve">   Moteurs à courant alternatif, monophasés</v>
      </c>
      <c r="C977">
        <v>877504</v>
      </c>
      <c r="D977">
        <v>33</v>
      </c>
    </row>
    <row r="978" spans="1:4" x14ac:dyDescent="0.25">
      <c r="A978" t="str">
        <f>T("   850161")</f>
        <v xml:space="preserve">   850161</v>
      </c>
      <c r="B978" t="str">
        <f>T("   Alternateurs, puissance &lt;= 75 kVA")</f>
        <v xml:space="preserve">   Alternateurs, puissance &lt;= 75 kVA</v>
      </c>
      <c r="C978">
        <v>1550000</v>
      </c>
      <c r="D978">
        <v>750</v>
      </c>
    </row>
    <row r="979" spans="1:4" x14ac:dyDescent="0.25">
      <c r="A979" t="str">
        <f>T("   850211")</f>
        <v xml:space="preserve">   850211</v>
      </c>
      <c r="B979" t="s">
        <v>444</v>
      </c>
      <c r="C979">
        <v>28569682</v>
      </c>
      <c r="D979">
        <v>5865</v>
      </c>
    </row>
    <row r="980" spans="1:4" x14ac:dyDescent="0.25">
      <c r="A980" t="str">
        <f>T("   850212")</f>
        <v xml:space="preserve">   850212</v>
      </c>
      <c r="B980" t="str">
        <f>T("   GROUPES ÉLECTROGÈNES À MOTEUR À PISTON À ALLUMAGE PAR COMPRESSION 'MOTEURS DIESEL OU SEMI-DIESEL', PUISSANCE &gt; 75 KVA MAIS &lt;= 375 KVA")</f>
        <v xml:space="preserve">   GROUPES ÉLECTROGÈNES À MOTEUR À PISTON À ALLUMAGE PAR COMPRESSION 'MOTEURS DIESEL OU SEMI-DIESEL', PUISSANCE &gt; 75 KVA MAIS &lt;= 375 KVA</v>
      </c>
      <c r="C980">
        <v>21477692</v>
      </c>
      <c r="D980">
        <v>11209</v>
      </c>
    </row>
    <row r="981" spans="1:4" x14ac:dyDescent="0.25">
      <c r="A981" t="str">
        <f>T("   850213")</f>
        <v xml:space="preserve">   850213</v>
      </c>
      <c r="B981" t="s">
        <v>445</v>
      </c>
      <c r="C981">
        <v>10925670</v>
      </c>
      <c r="D981">
        <v>3982</v>
      </c>
    </row>
    <row r="982" spans="1:4" x14ac:dyDescent="0.25">
      <c r="A982" t="str">
        <f>T("   850220")</f>
        <v xml:space="preserve">   850220</v>
      </c>
      <c r="B982" t="s">
        <v>446</v>
      </c>
      <c r="C982">
        <v>38005187</v>
      </c>
      <c r="D982">
        <v>6565</v>
      </c>
    </row>
    <row r="983" spans="1:4" x14ac:dyDescent="0.25">
      <c r="A983" t="str">
        <f>T("   850239")</f>
        <v xml:space="preserve">   850239</v>
      </c>
      <c r="B983" t="str">
        <f>T("   Groupes électrogènes (autres qu'à énergie éolienne et à moteurs à piston)")</f>
        <v xml:space="preserve">   Groupes électrogènes (autres qu'à énergie éolienne et à moteurs à piston)</v>
      </c>
      <c r="C983">
        <v>620980</v>
      </c>
      <c r="D983">
        <v>1175</v>
      </c>
    </row>
    <row r="984" spans="1:4" x14ac:dyDescent="0.25">
      <c r="A984" t="str">
        <f>T("   850300")</f>
        <v xml:space="preserve">   850300</v>
      </c>
      <c r="B984" t="str">
        <f>T("   Parties reconnaissables comme étant exclusivement ou principalement destinées aux moteurs et machines génératrices électriques, groupes électrogènes ou convertisseurs rotatifs électriques n.d.a.")</f>
        <v xml:space="preserve">   Parties reconnaissables comme étant exclusivement ou principalement destinées aux moteurs et machines génératrices électriques, groupes électrogènes ou convertisseurs rotatifs électriques n.d.a.</v>
      </c>
      <c r="C984">
        <v>2659905</v>
      </c>
      <c r="D984">
        <v>77</v>
      </c>
    </row>
    <row r="985" spans="1:4" x14ac:dyDescent="0.25">
      <c r="A985" t="str">
        <f>T("   850431")</f>
        <v xml:space="preserve">   850431</v>
      </c>
      <c r="B985" t="str">
        <f>T("   Transformateurs à sec, puissance &lt;= 1 kVA")</f>
        <v xml:space="preserve">   Transformateurs à sec, puissance &lt;= 1 kVA</v>
      </c>
      <c r="C985">
        <v>9430087</v>
      </c>
      <c r="D985">
        <v>23</v>
      </c>
    </row>
    <row r="986" spans="1:4" x14ac:dyDescent="0.25">
      <c r="A986" t="str">
        <f>T("   850440")</f>
        <v xml:space="preserve">   850440</v>
      </c>
      <c r="B986" t="str">
        <f>T("   CONVERTISSEURS STATIQUES")</f>
        <v xml:space="preserve">   CONVERTISSEURS STATIQUES</v>
      </c>
      <c r="C986">
        <v>2104733</v>
      </c>
      <c r="D986">
        <v>39</v>
      </c>
    </row>
    <row r="987" spans="1:4" x14ac:dyDescent="0.25">
      <c r="A987" t="str">
        <f>T("   850710")</f>
        <v xml:space="preserve">   850710</v>
      </c>
      <c r="B987" t="str">
        <f>T("   Accumulateurs au plomb, pour le démarrage des moteurs à piston (sauf hors d'usage)")</f>
        <v xml:space="preserve">   Accumulateurs au plomb, pour le démarrage des moteurs à piston (sauf hors d'usage)</v>
      </c>
      <c r="C987">
        <v>107912</v>
      </c>
      <c r="D987">
        <v>450</v>
      </c>
    </row>
    <row r="988" spans="1:4" x14ac:dyDescent="0.25">
      <c r="A988" t="str">
        <f>T("   850780")</f>
        <v xml:space="preserve">   850780</v>
      </c>
      <c r="B988" t="str">
        <f>T("   Accumulateurs électriques (sauf hors d'usage et autres qu'au plomb, au nickel-cadmium ou au nickel-fer)")</f>
        <v xml:space="preserve">   Accumulateurs électriques (sauf hors d'usage et autres qu'au plomb, au nickel-cadmium ou au nickel-fer)</v>
      </c>
      <c r="C988">
        <v>3419624</v>
      </c>
      <c r="D988">
        <v>3300</v>
      </c>
    </row>
    <row r="989" spans="1:4" x14ac:dyDescent="0.25">
      <c r="A989" t="str">
        <f>T("   850910")</f>
        <v xml:space="preserve">   850910</v>
      </c>
      <c r="B989" t="str">
        <f>T("   Aspirateurs de poussières, y.c. les aspirateurs de matières sèches et de matières liquides, à moteur électrique incorporé, à usage domestique")</f>
        <v xml:space="preserve">   Aspirateurs de poussières, y.c. les aspirateurs de matières sèches et de matières liquides, à moteur électrique incorporé, à usage domestique</v>
      </c>
      <c r="C989">
        <v>19896</v>
      </c>
      <c r="D989">
        <v>49</v>
      </c>
    </row>
    <row r="990" spans="1:4" x14ac:dyDescent="0.25">
      <c r="A990" t="str">
        <f>T("   850940")</f>
        <v xml:space="preserve">   850940</v>
      </c>
      <c r="B990" t="str">
        <f>T("   Broyeurs et mélangeurs pour aliments; presse-fruits et presse-légumes à moteur électrique incorporé, à usage domestique")</f>
        <v xml:space="preserve">   Broyeurs et mélangeurs pour aliments; presse-fruits et presse-légumes à moteur électrique incorporé, à usage domestique</v>
      </c>
      <c r="C990">
        <v>19896</v>
      </c>
      <c r="D990">
        <v>49</v>
      </c>
    </row>
    <row r="991" spans="1:4" x14ac:dyDescent="0.25">
      <c r="A991" t="str">
        <f>T("   850980")</f>
        <v xml:space="preserve">   850980</v>
      </c>
      <c r="B991" t="s">
        <v>447</v>
      </c>
      <c r="C991">
        <v>16992342</v>
      </c>
      <c r="D991">
        <v>27164</v>
      </c>
    </row>
    <row r="992" spans="1:4" x14ac:dyDescent="0.25">
      <c r="A992" t="str">
        <f>T("   851140")</f>
        <v xml:space="preserve">   851140</v>
      </c>
      <c r="B992" t="str">
        <f>T("   Démarreurs, même fonctionnant comme génératrices, pour moteurs à allumage par étincelles ou par compression")</f>
        <v xml:space="preserve">   Démarreurs, même fonctionnant comme génératrices, pour moteurs à allumage par étincelles ou par compression</v>
      </c>
      <c r="C992">
        <v>5623748</v>
      </c>
      <c r="D992">
        <v>130</v>
      </c>
    </row>
    <row r="993" spans="1:4" x14ac:dyDescent="0.25">
      <c r="A993" t="str">
        <f>T("   851150")</f>
        <v xml:space="preserve">   851150</v>
      </c>
      <c r="B993" t="str">
        <f>T("   Génératrices pour moteurs à allumage par étincelles ou par compression (autres que dynamos-magnétos et démarreurs fonctionnant comme génératrices)")</f>
        <v xml:space="preserve">   Génératrices pour moteurs à allumage par étincelles ou par compression (autres que dynamos-magnétos et démarreurs fonctionnant comme génératrices)</v>
      </c>
      <c r="C993">
        <v>648274</v>
      </c>
      <c r="D993">
        <v>26</v>
      </c>
    </row>
    <row r="994" spans="1:4" x14ac:dyDescent="0.25">
      <c r="A994" t="str">
        <f>T("   851310")</f>
        <v xml:space="preserve">   851310</v>
      </c>
      <c r="B994" t="str">
        <f>T("   Lampes électriques portatives, destinées à fonctionner au moyen de leur propre source d'énergie")</f>
        <v xml:space="preserve">   Lampes électriques portatives, destinées à fonctionner au moyen de leur propre source d'énergie</v>
      </c>
      <c r="C994">
        <v>253107</v>
      </c>
      <c r="D994">
        <v>420</v>
      </c>
    </row>
    <row r="995" spans="1:4" x14ac:dyDescent="0.25">
      <c r="A995" t="str">
        <f>T("   851539")</f>
        <v xml:space="preserve">   851539</v>
      </c>
      <c r="B995" t="str">
        <f>T("   MACHINES ET APPAREILS POUR LE SOUDAGE DES MÉTAUX À L'ARC OU AU JET DE PLASMA, NON-AUTOMATIQUES")</f>
        <v xml:space="preserve">   MACHINES ET APPAREILS POUR LE SOUDAGE DES MÉTAUX À L'ARC OU AU JET DE PLASMA, NON-AUTOMATIQUES</v>
      </c>
      <c r="C995">
        <v>300430</v>
      </c>
      <c r="D995">
        <v>2500</v>
      </c>
    </row>
    <row r="996" spans="1:4" x14ac:dyDescent="0.25">
      <c r="A996" t="str">
        <f>T("   851590")</f>
        <v xml:space="preserve">   851590</v>
      </c>
      <c r="B996" t="str">
        <f>T("   Parties de machines et appareils électriques pour le brasage, le soudage ou la projection à chaud de métaux, de carbures métalliques frittés ou de cermets, n.d.a.")</f>
        <v xml:space="preserve">   Parties de machines et appareils électriques pour le brasage, le soudage ou la projection à chaud de métaux, de carbures métalliques frittés ou de cermets, n.d.a.</v>
      </c>
      <c r="C996">
        <v>1332911</v>
      </c>
      <c r="D996">
        <v>3</v>
      </c>
    </row>
    <row r="997" spans="1:4" x14ac:dyDescent="0.25">
      <c r="A997" t="str">
        <f>T("   851629")</f>
        <v xml:space="preserve">   851629</v>
      </c>
      <c r="B997" t="str">
        <f>T("   Appareils électriques pour le chauffage des locaux, du sol ou pour usages simil. (sauf radiateurs à accumulation)")</f>
        <v xml:space="preserve">   Appareils électriques pour le chauffage des locaux, du sol ou pour usages simil. (sauf radiateurs à accumulation)</v>
      </c>
      <c r="C997">
        <v>200000</v>
      </c>
      <c r="D997">
        <v>100</v>
      </c>
    </row>
    <row r="998" spans="1:4" x14ac:dyDescent="0.25">
      <c r="A998" t="str">
        <f>T("   851650")</f>
        <v xml:space="preserve">   851650</v>
      </c>
      <c r="B998" t="str">
        <f>T("   Fours à micro-ondes")</f>
        <v xml:space="preserve">   Fours à micro-ondes</v>
      </c>
      <c r="C998">
        <v>1603823</v>
      </c>
      <c r="D998">
        <v>2469</v>
      </c>
    </row>
    <row r="999" spans="1:4" x14ac:dyDescent="0.25">
      <c r="A999" t="str">
        <f>T("   851660")</f>
        <v xml:space="preserve">   851660</v>
      </c>
      <c r="B999" t="str">
        <f>T("   Fours, cuisinières, réchauds, tables de cuisson, grils et rôtissoires électriques, pour usages domestiques (sauf fours destinés au chauffage des locaux et fours à micro-ondes)")</f>
        <v xml:space="preserve">   Fours, cuisinières, réchauds, tables de cuisson, grils et rôtissoires électriques, pour usages domestiques (sauf fours destinés au chauffage des locaux et fours à micro-ondes)</v>
      </c>
      <c r="C999">
        <v>107577</v>
      </c>
      <c r="D999">
        <v>200</v>
      </c>
    </row>
    <row r="1000" spans="1:4" x14ac:dyDescent="0.25">
      <c r="A1000" t="str">
        <f>T("   851679")</f>
        <v xml:space="preserve">   851679</v>
      </c>
      <c r="B1000" t="s">
        <v>451</v>
      </c>
      <c r="C1000">
        <v>1500181</v>
      </c>
      <c r="D1000">
        <v>18650</v>
      </c>
    </row>
    <row r="1001" spans="1:4" x14ac:dyDescent="0.25">
      <c r="A1001" t="str">
        <f>T("   851780")</f>
        <v xml:space="preserve">   851780</v>
      </c>
      <c r="B1001" t="s">
        <v>453</v>
      </c>
      <c r="C1001">
        <v>301349</v>
      </c>
      <c r="D1001">
        <v>29</v>
      </c>
    </row>
    <row r="1002" spans="1:4" x14ac:dyDescent="0.25">
      <c r="A1002" t="str">
        <f>T("   852190")</f>
        <v xml:space="preserve">   852190</v>
      </c>
      <c r="B1002" t="s">
        <v>458</v>
      </c>
      <c r="C1002">
        <v>376521</v>
      </c>
      <c r="D1002">
        <v>280</v>
      </c>
    </row>
    <row r="1003" spans="1:4" x14ac:dyDescent="0.25">
      <c r="A1003" t="str">
        <f>T("   852713")</f>
        <v xml:space="preserve">   852713</v>
      </c>
      <c r="B1003" t="str">
        <f>T("   RÉCEPTEURS DE RADIODIFFUSION POUVANT FONCTIONNER SANS SOURCE D'ÉNERGIE EXTÉRIEURE, COMBINÉS À UN APPAREIL D'ENREGISTREMENT OU DE REPRODUCTION DU SON (À L'EXCL. DES RADIOCASSETTES DE POCHE)")</f>
        <v xml:space="preserve">   RÉCEPTEURS DE RADIODIFFUSION POUVANT FONCTIONNER SANS SOURCE D'ÉNERGIE EXTÉRIEURE, COMBINÉS À UN APPAREIL D'ENREGISTREMENT OU DE REPRODUCTION DU SON (À L'EXCL. DES RADIOCASSETTES DE POCHE)</v>
      </c>
      <c r="C1003">
        <v>2698741</v>
      </c>
      <c r="D1003">
        <v>670</v>
      </c>
    </row>
    <row r="1004" spans="1:4" x14ac:dyDescent="0.25">
      <c r="A1004" t="str">
        <f>T("   852790")</f>
        <v xml:space="preserve">   852790</v>
      </c>
      <c r="B1004" t="str">
        <f>T("   Récepteurs pour la radiotéléphonie, la radiotélégraphie ou la radiodiffusion commerciale")</f>
        <v xml:space="preserve">   Récepteurs pour la radiotéléphonie, la radiotélégraphie ou la radiodiffusion commerciale</v>
      </c>
      <c r="C1004">
        <v>299572</v>
      </c>
      <c r="D1004">
        <v>330</v>
      </c>
    </row>
    <row r="1005" spans="1:4" x14ac:dyDescent="0.25">
      <c r="A1005" t="str">
        <f>T("   852812")</f>
        <v xml:space="preserve">   852812</v>
      </c>
      <c r="B1005"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1005">
        <v>21525774</v>
      </c>
      <c r="D1005">
        <v>17238</v>
      </c>
    </row>
    <row r="1006" spans="1:4" x14ac:dyDescent="0.25">
      <c r="A1006" t="str">
        <f>T("   852910")</f>
        <v xml:space="preserve">   852910</v>
      </c>
      <c r="B1006" t="str">
        <f>T("   Antennes et réflecteurs d'antennes de tous types; parties reconnaissables comme étant utilisées conjointement avec ces articles, n.d.a.")</f>
        <v xml:space="preserve">   Antennes et réflecteurs d'antennes de tous types; parties reconnaissables comme étant utilisées conjointement avec ces articles, n.d.a.</v>
      </c>
      <c r="C1006">
        <v>24726117</v>
      </c>
      <c r="D1006">
        <v>2166</v>
      </c>
    </row>
    <row r="1007" spans="1:4" x14ac:dyDescent="0.25">
      <c r="A1007" t="str">
        <f>T("   853329")</f>
        <v xml:space="preserve">   853329</v>
      </c>
      <c r="B1007" t="str">
        <f>T("   Résistances électriques fixes, pour une puissance &gt; 20 W (non chauffantes)")</f>
        <v xml:space="preserve">   Résistances électriques fixes, pour une puissance &gt; 20 W (non chauffantes)</v>
      </c>
      <c r="C1007">
        <v>67826</v>
      </c>
      <c r="D1007">
        <v>1.3</v>
      </c>
    </row>
    <row r="1008" spans="1:4" x14ac:dyDescent="0.25">
      <c r="A1008" t="str">
        <f>T("   853630")</f>
        <v xml:space="preserve">   853630</v>
      </c>
      <c r="B1008" t="str">
        <f>T("   APPAREILS POUR LA PROTECTION DES CIRCUITS ÉLECTRIQUES (SAUF FUSIBLES, COUPE-CIRCUIT À FUSIBLES ET DISJONCTEURS), POUR UNE TENSION &lt;= 1.000 V")</f>
        <v xml:space="preserve">   APPAREILS POUR LA PROTECTION DES CIRCUITS ÉLECTRIQUES (SAUF FUSIBLES, COUPE-CIRCUIT À FUSIBLES ET DISJONCTEURS), POUR UNE TENSION &lt;= 1.000 V</v>
      </c>
      <c r="C1008">
        <v>1634802</v>
      </c>
      <c r="D1008">
        <v>500</v>
      </c>
    </row>
    <row r="1009" spans="1:4" x14ac:dyDescent="0.25">
      <c r="A1009" t="str">
        <f>T("   853641")</f>
        <v xml:space="preserve">   853641</v>
      </c>
      <c r="B1009" t="str">
        <f>T("   Relais pour une tension &lt;= 60 V")</f>
        <v xml:space="preserve">   Relais pour une tension &lt;= 60 V</v>
      </c>
      <c r="C1009">
        <v>945048</v>
      </c>
      <c r="D1009">
        <v>23</v>
      </c>
    </row>
    <row r="1010" spans="1:4" x14ac:dyDescent="0.25">
      <c r="A1010" t="str">
        <f>T("   853649")</f>
        <v xml:space="preserve">   853649</v>
      </c>
      <c r="B1010" t="str">
        <f>T("   Relais, pour une tension &gt; 60 V mais &lt;= 1.000 V")</f>
        <v xml:space="preserve">   Relais, pour une tension &gt; 60 V mais &lt;= 1.000 V</v>
      </c>
      <c r="C1010">
        <v>513052</v>
      </c>
      <c r="D1010">
        <v>16.600000000000001</v>
      </c>
    </row>
    <row r="1011" spans="1:4" x14ac:dyDescent="0.25">
      <c r="A1011" t="str">
        <f>T("   853650")</f>
        <v xml:space="preserve">   853650</v>
      </c>
      <c r="B1011" t="str">
        <f>T("   Interrupteurs, sectionneurs et commutateurs, pour une tension &lt;= 1.000 V (autres que relais et disjoncteurs)")</f>
        <v xml:space="preserve">   Interrupteurs, sectionneurs et commutateurs, pour une tension &lt;= 1.000 V (autres que relais et disjoncteurs)</v>
      </c>
      <c r="C1011">
        <v>3442105</v>
      </c>
      <c r="D1011">
        <v>106.08</v>
      </c>
    </row>
    <row r="1012" spans="1:4" x14ac:dyDescent="0.25">
      <c r="A1012" t="str">
        <f>T("   853669")</f>
        <v xml:space="preserve">   853669</v>
      </c>
      <c r="B1012" t="str">
        <f>T("   Fiches et prises de courant, pour une tension &lt;= 1.000 V (sauf douilles pour lampes)")</f>
        <v xml:space="preserve">   Fiches et prises de courant, pour une tension &lt;= 1.000 V (sauf douilles pour lampes)</v>
      </c>
      <c r="C1012">
        <v>1345210</v>
      </c>
      <c r="D1012">
        <v>329</v>
      </c>
    </row>
    <row r="1013" spans="1:4" x14ac:dyDescent="0.25">
      <c r="A1013" t="str">
        <f>T("   853690")</f>
        <v xml:space="preserve">   853690</v>
      </c>
      <c r="B1013" t="s">
        <v>469</v>
      </c>
      <c r="C1013">
        <v>4216024</v>
      </c>
      <c r="D1013">
        <v>1123</v>
      </c>
    </row>
    <row r="1014" spans="1:4" x14ac:dyDescent="0.25">
      <c r="A1014" t="str">
        <f>T("   853720")</f>
        <v xml:space="preserve">   853720</v>
      </c>
      <c r="B1014" t="str">
        <f>T("   Tableaux, armoires et combinaisons d'appareils simil., pour la commande ou la distribution électrique, pour une tension &gt; 1.000 V")</f>
        <v xml:space="preserve">   Tableaux, armoires et combinaisons d'appareils simil., pour la commande ou la distribution électrique, pour une tension &gt; 1.000 V</v>
      </c>
      <c r="C1014">
        <v>655960</v>
      </c>
      <c r="D1014">
        <v>703</v>
      </c>
    </row>
    <row r="1015" spans="1:4" x14ac:dyDescent="0.25">
      <c r="A1015" t="str">
        <f>T("   853890")</f>
        <v xml:space="preserve">   853890</v>
      </c>
      <c r="B1015" t="s">
        <v>470</v>
      </c>
      <c r="C1015">
        <v>677889</v>
      </c>
      <c r="D1015">
        <v>19</v>
      </c>
    </row>
    <row r="1016" spans="1:4" x14ac:dyDescent="0.25">
      <c r="A1016" t="str">
        <f>T("   853910")</f>
        <v xml:space="preserve">   853910</v>
      </c>
      <c r="B1016" t="str">
        <f>T("   Phares et projecteurs scellés")</f>
        <v xml:space="preserve">   Phares et projecteurs scellés</v>
      </c>
      <c r="C1016">
        <v>1789459</v>
      </c>
      <c r="D1016">
        <v>42</v>
      </c>
    </row>
    <row r="1017" spans="1:4" x14ac:dyDescent="0.25">
      <c r="A1017" t="str">
        <f>T("   853939")</f>
        <v xml:space="preserve">   853939</v>
      </c>
      <c r="B1017" t="str">
        <f>T("   Lampes et tubes à décharge (autres que fluorescents, à cathode chaude, à vapeur de mercure ou de sodium, à halogénure métallique et qu'à rayons ultraviolets)")</f>
        <v xml:space="preserve">   Lampes et tubes à décharge (autres que fluorescents, à cathode chaude, à vapeur de mercure ou de sodium, à halogénure métallique et qu'à rayons ultraviolets)</v>
      </c>
      <c r="C1017">
        <v>764150</v>
      </c>
      <c r="D1017">
        <v>44</v>
      </c>
    </row>
    <row r="1018" spans="1:4" x14ac:dyDescent="0.25">
      <c r="A1018" t="str">
        <f>T("   854129")</f>
        <v xml:space="preserve">   854129</v>
      </c>
      <c r="B1018" t="str">
        <f>T("   Transistors à pouvoir de dissipation &gt;= 1 W (autres que phototransistors)")</f>
        <v xml:space="preserve">   Transistors à pouvoir de dissipation &gt;= 1 W (autres que phototransistors)</v>
      </c>
      <c r="C1018">
        <v>640873</v>
      </c>
      <c r="D1018">
        <v>4</v>
      </c>
    </row>
    <row r="1019" spans="1:4" x14ac:dyDescent="0.25">
      <c r="A1019" t="str">
        <f>T("   854150")</f>
        <v xml:space="preserve">   854150</v>
      </c>
      <c r="B1019" t="str">
        <f>T("   Dispositifs à semi-conducteur, n.d.a.")</f>
        <v xml:space="preserve">   Dispositifs à semi-conducteur, n.d.a.</v>
      </c>
      <c r="C1019">
        <v>1279122</v>
      </c>
      <c r="D1019">
        <v>175</v>
      </c>
    </row>
    <row r="1020" spans="1:4" x14ac:dyDescent="0.25">
      <c r="A1020" t="str">
        <f>T("   854389")</f>
        <v xml:space="preserve">   854389</v>
      </c>
      <c r="B1020" t="str">
        <f>T("   MACHINES ET APPAREILS ÉLECTRIQUES AYANT UNE FONCTION PROPRE, N.D.A. DANS LE CHAPITRE 85")</f>
        <v xml:space="preserve">   MACHINES ET APPAREILS ÉLECTRIQUES AYANT UNE FONCTION PROPRE, N.D.A. DANS LE CHAPITRE 85</v>
      </c>
      <c r="C1020">
        <v>3487451</v>
      </c>
      <c r="D1020">
        <v>655</v>
      </c>
    </row>
    <row r="1021" spans="1:4" x14ac:dyDescent="0.25">
      <c r="A1021" t="str">
        <f>T("   854420")</f>
        <v xml:space="preserve">   854420</v>
      </c>
      <c r="B1021" t="str">
        <f>T("   Câbles coaxiaux et autres conducteurs électriques coaxiaux, isolés")</f>
        <v xml:space="preserve">   Câbles coaxiaux et autres conducteurs électriques coaxiaux, isolés</v>
      </c>
      <c r="C1021">
        <v>2125701</v>
      </c>
      <c r="D1021">
        <v>550</v>
      </c>
    </row>
    <row r="1022" spans="1:4" x14ac:dyDescent="0.25">
      <c r="A1022" t="str">
        <f>T("   854449")</f>
        <v xml:space="preserve">   854449</v>
      </c>
      <c r="B1022" t="str">
        <f>T("   CONDUCTEURS ÉLECTRIQUES, POUR TENSION &lt;= 1.000 V, ISOLÉS, SANS PIÈCES DE CONNEXION, N.D.A.")</f>
        <v xml:space="preserve">   CONDUCTEURS ÉLECTRIQUES, POUR TENSION &lt;= 1.000 V, ISOLÉS, SANS PIÈCES DE CONNEXION, N.D.A.</v>
      </c>
      <c r="C1022">
        <v>213133801</v>
      </c>
      <c r="D1022">
        <v>97281</v>
      </c>
    </row>
    <row r="1023" spans="1:4" x14ac:dyDescent="0.25">
      <c r="A1023" t="str">
        <f>T("   854460")</f>
        <v xml:space="preserve">   854460</v>
      </c>
      <c r="B1023" t="str">
        <f>T("   Conducteurs électriques, pour tension &gt; 1.000 V, n.d.a.")</f>
        <v xml:space="preserve">   Conducteurs électriques, pour tension &gt; 1.000 V, n.d.a.</v>
      </c>
      <c r="C1023">
        <v>195921476</v>
      </c>
      <c r="D1023">
        <v>89487</v>
      </c>
    </row>
    <row r="1024" spans="1:4" x14ac:dyDescent="0.25">
      <c r="A1024" t="str">
        <f>T("   854790")</f>
        <v xml:space="preserve">   854790</v>
      </c>
      <c r="B1024" t="str">
        <f>T("   Pièces isolantes, pour usages électriques (autres qu'en céramique ou en matières plastiques, et que tubes isolateurs et leurs pièces de raccordement, en métaux communs, isolés intérieurement)")</f>
        <v xml:space="preserve">   Pièces isolantes, pour usages électriques (autres qu'en céramique ou en matières plastiques, et que tubes isolateurs et leurs pièces de raccordement, en métaux communs, isolés intérieurement)</v>
      </c>
      <c r="C1024">
        <v>4429829</v>
      </c>
      <c r="D1024">
        <v>3520</v>
      </c>
    </row>
    <row r="1025" spans="1:4" x14ac:dyDescent="0.25">
      <c r="A1025" t="str">
        <f>T("   870120")</f>
        <v xml:space="preserve">   870120</v>
      </c>
      <c r="B1025" t="str">
        <f>T("   Tracteurs routiers pour semi-remorques")</f>
        <v xml:space="preserve">   Tracteurs routiers pour semi-remorques</v>
      </c>
      <c r="C1025">
        <v>1027720115</v>
      </c>
      <c r="D1025">
        <v>671363</v>
      </c>
    </row>
    <row r="1026" spans="1:4" x14ac:dyDescent="0.25">
      <c r="A1026" t="str">
        <f>T("   870190")</f>
        <v xml:space="preserve">   870190</v>
      </c>
      <c r="B1026" t="str">
        <f>T("   Tracteurs (à l'excl. des chariots-tracteurs du n° 8709, ainsi que des motoculteurs, tracteurs routiers pour semi-remorques et tracteurs à chenilles)")</f>
        <v xml:space="preserve">   Tracteurs (à l'excl. des chariots-tracteurs du n° 8709, ainsi que des motoculteurs, tracteurs routiers pour semi-remorques et tracteurs à chenilles)</v>
      </c>
      <c r="C1026">
        <v>3957256</v>
      </c>
      <c r="D1026">
        <v>3700</v>
      </c>
    </row>
    <row r="1027" spans="1:4" x14ac:dyDescent="0.25">
      <c r="A1027" t="str">
        <f>T("   870210")</f>
        <v xml:space="preserve">   870210</v>
      </c>
      <c r="B1027" t="s">
        <v>472</v>
      </c>
      <c r="C1027">
        <v>351454349</v>
      </c>
      <c r="D1027">
        <v>180053</v>
      </c>
    </row>
    <row r="1028" spans="1:4" x14ac:dyDescent="0.25">
      <c r="A1028" t="str">
        <f>T("   870290")</f>
        <v xml:space="preserve">   870290</v>
      </c>
      <c r="B1028" t="s">
        <v>473</v>
      </c>
      <c r="C1028">
        <v>352202435</v>
      </c>
      <c r="D1028">
        <v>239070</v>
      </c>
    </row>
    <row r="1029" spans="1:4" x14ac:dyDescent="0.25">
      <c r="A1029" t="str">
        <f>T("   870322")</f>
        <v xml:space="preserve">   870322</v>
      </c>
      <c r="B1029" t="s">
        <v>475</v>
      </c>
      <c r="C1029">
        <v>2327994808</v>
      </c>
      <c r="D1029">
        <v>1534903</v>
      </c>
    </row>
    <row r="1030" spans="1:4" x14ac:dyDescent="0.25">
      <c r="A1030" t="str">
        <f>T("   870323")</f>
        <v xml:space="preserve">   870323</v>
      </c>
      <c r="B1030" t="s">
        <v>476</v>
      </c>
      <c r="C1030">
        <v>732135957</v>
      </c>
      <c r="D1030">
        <v>146279</v>
      </c>
    </row>
    <row r="1031" spans="1:4" x14ac:dyDescent="0.25">
      <c r="A1031" t="str">
        <f>T("   870324")</f>
        <v xml:space="preserve">   870324</v>
      </c>
      <c r="B1031" t="s">
        <v>477</v>
      </c>
      <c r="C1031">
        <v>25266139</v>
      </c>
      <c r="D1031">
        <v>7407</v>
      </c>
    </row>
    <row r="1032" spans="1:4" x14ac:dyDescent="0.25">
      <c r="A1032" t="str">
        <f>T("   870331")</f>
        <v xml:space="preserve">   870331</v>
      </c>
      <c r="B1032" t="s">
        <v>478</v>
      </c>
      <c r="C1032">
        <v>34129135</v>
      </c>
      <c r="D1032">
        <v>6100</v>
      </c>
    </row>
    <row r="1033" spans="1:4" x14ac:dyDescent="0.25">
      <c r="A1033" t="str">
        <f>T("   870332")</f>
        <v xml:space="preserve">   870332</v>
      </c>
      <c r="B1033" t="s">
        <v>479</v>
      </c>
      <c r="C1033">
        <v>195661416</v>
      </c>
      <c r="D1033">
        <v>31745</v>
      </c>
    </row>
    <row r="1034" spans="1:4" x14ac:dyDescent="0.25">
      <c r="A1034" t="str">
        <f>T("   870333")</f>
        <v xml:space="preserve">   870333</v>
      </c>
      <c r="B1034" t="s">
        <v>480</v>
      </c>
      <c r="C1034">
        <v>1546057103</v>
      </c>
      <c r="D1034">
        <v>163745</v>
      </c>
    </row>
    <row r="1035" spans="1:4" x14ac:dyDescent="0.25">
      <c r="A1035" t="str">
        <f>T("   870421")</f>
        <v xml:space="preserve">   870421</v>
      </c>
      <c r="B1035" t="s">
        <v>481</v>
      </c>
      <c r="C1035">
        <v>2314734397</v>
      </c>
      <c r="D1035">
        <v>513984</v>
      </c>
    </row>
    <row r="1036" spans="1:4" x14ac:dyDescent="0.25">
      <c r="A1036" t="str">
        <f>T("   870422")</f>
        <v xml:space="preserve">   870422</v>
      </c>
      <c r="B1036" t="s">
        <v>482</v>
      </c>
      <c r="C1036">
        <v>98746126</v>
      </c>
      <c r="D1036">
        <v>218040</v>
      </c>
    </row>
    <row r="1037" spans="1:4" x14ac:dyDescent="0.25">
      <c r="A1037" t="str">
        <f>T("   870423")</f>
        <v xml:space="preserve">   870423</v>
      </c>
      <c r="B1037" t="s">
        <v>483</v>
      </c>
      <c r="C1037">
        <v>19458444</v>
      </c>
      <c r="D1037">
        <v>52000</v>
      </c>
    </row>
    <row r="1038" spans="1:4" x14ac:dyDescent="0.25">
      <c r="A1038" t="str">
        <f>T("   870431")</f>
        <v xml:space="preserve">   870431</v>
      </c>
      <c r="B1038" t="s">
        <v>484</v>
      </c>
      <c r="C1038">
        <v>63486259</v>
      </c>
      <c r="D1038">
        <v>71526</v>
      </c>
    </row>
    <row r="1039" spans="1:4" x14ac:dyDescent="0.25">
      <c r="A1039" t="str">
        <f>T("   870490")</f>
        <v xml:space="preserve">   870490</v>
      </c>
      <c r="B1039" t="str">
        <f>T("   Véhicules automobiles pour le transport de marchandises à moteur autre qu'à piston à allumage par étincelles ou moteur diesel ou semi-diesel (sauf tombereaux automoteurs du n° 8704.10, véhicules automobiles à usages spéciaux du n° 8705)")</f>
        <v xml:space="preserve">   Véhicules automobiles pour le transport de marchandises à moteur autre qu'à piston à allumage par étincelles ou moteur diesel ou semi-diesel (sauf tombereaux automoteurs du n° 8704.10, véhicules automobiles à usages spéciaux du n° 8705)</v>
      </c>
      <c r="C1039">
        <v>8333797</v>
      </c>
      <c r="D1039">
        <v>27250</v>
      </c>
    </row>
    <row r="1040" spans="1:4" x14ac:dyDescent="0.25">
      <c r="A1040" t="str">
        <f>T("   870510")</f>
        <v xml:space="preserve">   870510</v>
      </c>
      <c r="B1040" t="str">
        <f>T("   Camions-grues (sauf dépanneuses)")</f>
        <v xml:space="preserve">   Camions-grues (sauf dépanneuses)</v>
      </c>
      <c r="C1040">
        <v>29167917</v>
      </c>
      <c r="D1040">
        <v>15300</v>
      </c>
    </row>
    <row r="1041" spans="1:4" x14ac:dyDescent="0.25">
      <c r="A1041" t="str">
        <f>T("   870590")</f>
        <v xml:space="preserve">   870590</v>
      </c>
      <c r="B1041" t="s">
        <v>486</v>
      </c>
      <c r="C1041">
        <v>25172465</v>
      </c>
      <c r="D1041">
        <v>13450</v>
      </c>
    </row>
    <row r="1042" spans="1:4" x14ac:dyDescent="0.25">
      <c r="A1042" t="str">
        <f>T("   870829")</f>
        <v xml:space="preserve">   870829</v>
      </c>
      <c r="B1042" t="s">
        <v>488</v>
      </c>
      <c r="C1042">
        <v>250577</v>
      </c>
      <c r="D1042">
        <v>250</v>
      </c>
    </row>
    <row r="1043" spans="1:4" x14ac:dyDescent="0.25">
      <c r="A1043" t="str">
        <f>T("   870850")</f>
        <v xml:space="preserve">   870850</v>
      </c>
      <c r="B1043" t="s">
        <v>489</v>
      </c>
      <c r="C1043">
        <v>300000</v>
      </c>
      <c r="D1043">
        <v>800</v>
      </c>
    </row>
    <row r="1044" spans="1:4" x14ac:dyDescent="0.25">
      <c r="A1044" t="str">
        <f>T("   870860")</f>
        <v xml:space="preserve">   870860</v>
      </c>
      <c r="B1044" t="str">
        <f>T("   ESSIEUX PORTEURS ET LEURS PARTIES, POUR TRACTEURS, VÉHICULES POUR LE TRANSPORT DE &gt;= 10 PERSONNES, CHAUFFEUR INCLUS, VOITURES DE TOURISME, VÉHICULES POUR LE TRANSPORT DE MARCHANDISES ET VÉHICULES À USAGES SPÉCIAUX N.D.A.")</f>
        <v xml:space="preserve">   ESSIEUX PORTEURS ET LEURS PARTIES, POUR TRACTEURS, VÉHICULES POUR LE TRANSPORT DE &gt;= 10 PERSONNES, CHAUFFEUR INCLUS, VOITURES DE TOURISME, VÉHICULES POUR LE TRANSPORT DE MARCHANDISES ET VÉHICULES À USAGES SPÉCIAUX N.D.A.</v>
      </c>
      <c r="C1044">
        <v>2950000</v>
      </c>
      <c r="D1044">
        <v>3200</v>
      </c>
    </row>
    <row r="1045" spans="1:4" x14ac:dyDescent="0.25">
      <c r="A1045" t="str">
        <f>T("   870899")</f>
        <v xml:space="preserve">   870899</v>
      </c>
      <c r="B1045"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1045">
        <v>67911873</v>
      </c>
      <c r="D1045">
        <v>15464</v>
      </c>
    </row>
    <row r="1046" spans="1:4" x14ac:dyDescent="0.25">
      <c r="A1046" t="str">
        <f>T("   870919")</f>
        <v xml:space="preserve">   870919</v>
      </c>
      <c r="B1046" t="str">
        <f>T("   CHARIOTS AUTOMOBILES NON-ÉLECTRIQUES, NON-MUNIS D'UN DISPOSITIF DE LEVAGE, DES TYPES UTILISÉS POUR LE TRANSPORT DES MARCHANDISES SUR DE COURTES DISTANCES, Y.C. LES CHARIOTS-TRACTEURS DES TYPES UTILISÉS DANS LES GARES")</f>
        <v xml:space="preserve">   CHARIOTS AUTOMOBILES NON-ÉLECTRIQUES, NON-MUNIS D'UN DISPOSITIF DE LEVAGE, DES TYPES UTILISÉS POUR LE TRANSPORT DES MARCHANDISES SUR DE COURTES DISTANCES, Y.C. LES CHARIOTS-TRACTEURS DES TYPES UTILISÉS DANS LES GARES</v>
      </c>
      <c r="C1046">
        <v>16080293</v>
      </c>
      <c r="D1046">
        <v>2330</v>
      </c>
    </row>
    <row r="1047" spans="1:4" x14ac:dyDescent="0.25">
      <c r="A1047" t="str">
        <f>T("   871120")</f>
        <v xml:space="preserve">   871120</v>
      </c>
      <c r="B1047" t="str">
        <f>T("   Motocycles à moteur à piston alternatif, cylindrée &gt; 50 cm³ mais &lt;= 250 cm³")</f>
        <v xml:space="preserve">   Motocycles à moteur à piston alternatif, cylindrée &gt; 50 cm³ mais &lt;= 250 cm³</v>
      </c>
      <c r="C1047">
        <v>28779815</v>
      </c>
      <c r="D1047">
        <v>5942</v>
      </c>
    </row>
    <row r="1048" spans="1:4" x14ac:dyDescent="0.25">
      <c r="A1048" t="str">
        <f>T("   871130")</f>
        <v xml:space="preserve">   871130</v>
      </c>
      <c r="B1048" t="str">
        <f>T("   Motocycles à moteur à piston alternatif, cylindrée &gt; 250 cm³ mais &lt;= 500 cm³")</f>
        <v xml:space="preserve">   Motocycles à moteur à piston alternatif, cylindrée &gt; 250 cm³ mais &lt;= 500 cm³</v>
      </c>
      <c r="C1048">
        <v>1241235</v>
      </c>
      <c r="D1048">
        <v>1050</v>
      </c>
    </row>
    <row r="1049" spans="1:4" x14ac:dyDescent="0.25">
      <c r="A1049" t="str">
        <f>T("   871150")</f>
        <v xml:space="preserve">   871150</v>
      </c>
      <c r="B1049" t="str">
        <f>T("   Motocycles à moteur à piston alternatif, cylindrée &gt; 800 cm³")</f>
        <v xml:space="preserve">   Motocycles à moteur à piston alternatif, cylindrée &gt; 800 cm³</v>
      </c>
      <c r="C1049">
        <v>3494525</v>
      </c>
      <c r="D1049">
        <v>259</v>
      </c>
    </row>
    <row r="1050" spans="1:4" x14ac:dyDescent="0.25">
      <c r="A1050" t="str">
        <f>T("   871200")</f>
        <v xml:space="preserve">   871200</v>
      </c>
      <c r="B1050" t="str">
        <f>T("   BICYCLETTES ET AUTRES CYCLES, -Y.C. LES TRIPORTEURS-, SANS MOTEUR")</f>
        <v xml:space="preserve">   BICYCLETTES ET AUTRES CYCLES, -Y.C. LES TRIPORTEURS-, SANS MOTEUR</v>
      </c>
      <c r="C1050">
        <v>6882404</v>
      </c>
      <c r="D1050">
        <v>23779</v>
      </c>
    </row>
    <row r="1051" spans="1:4" x14ac:dyDescent="0.25">
      <c r="A1051" t="str">
        <f>T("   871499")</f>
        <v xml:space="preserve">   871499</v>
      </c>
      <c r="B1051" t="str">
        <f>T("   Parties et accessoires, de bicyclettes, n.d.a.")</f>
        <v xml:space="preserve">   Parties et accessoires, de bicyclettes, n.d.a.</v>
      </c>
      <c r="C1051">
        <v>2787258</v>
      </c>
      <c r="D1051">
        <v>10038</v>
      </c>
    </row>
    <row r="1052" spans="1:4" x14ac:dyDescent="0.25">
      <c r="A1052" t="str">
        <f>T("   871620")</f>
        <v xml:space="preserve">   871620</v>
      </c>
      <c r="B1052" t="str">
        <f>T("   Remorques et semi-remorques autochargeuses ou autodéchargeuses, pour usages agricoles")</f>
        <v xml:space="preserve">   Remorques et semi-remorques autochargeuses ou autodéchargeuses, pour usages agricoles</v>
      </c>
      <c r="C1052">
        <v>4000000</v>
      </c>
      <c r="D1052">
        <v>4500</v>
      </c>
    </row>
    <row r="1053" spans="1:4" x14ac:dyDescent="0.25">
      <c r="A1053" t="str">
        <f>T("   871640")</f>
        <v xml:space="preserve">   871640</v>
      </c>
      <c r="B1053" t="str">
        <f>T("   Remorques ne circulant pas sur rails (à l'excl. des remorques pour le transport de marchandises et remorques pour l'habitation ou le camping, du type caravane)")</f>
        <v xml:space="preserve">   Remorques ne circulant pas sur rails (à l'excl. des remorques pour le transport de marchandises et remorques pour l'habitation ou le camping, du type caravane)</v>
      </c>
      <c r="C1053">
        <v>140724011</v>
      </c>
      <c r="D1053">
        <v>322068</v>
      </c>
    </row>
    <row r="1054" spans="1:4" x14ac:dyDescent="0.25">
      <c r="A1054" t="str">
        <f>T("   900490")</f>
        <v xml:space="preserve">   900490</v>
      </c>
      <c r="B1054" t="str">
        <f>T("   Lunettes correctrices, protectrices ou autres et articles simil. (à l'excl. des lunettes pour tests visuels, des lunettes solaires, des verres de contact, des verres de lunetterie et des montures de lunettes)")</f>
        <v xml:space="preserve">   Lunettes correctrices, protectrices ou autres et articles simil. (à l'excl. des lunettes pour tests visuels, des lunettes solaires, des verres de contact, des verres de lunetterie et des montures de lunettes)</v>
      </c>
      <c r="C1054">
        <v>29078</v>
      </c>
      <c r="D1054">
        <v>2</v>
      </c>
    </row>
    <row r="1055" spans="1:4" x14ac:dyDescent="0.25">
      <c r="A1055" t="str">
        <f>T("   901530")</f>
        <v xml:space="preserve">   901530</v>
      </c>
      <c r="B1055" t="str">
        <f>T("   Niveaux")</f>
        <v xml:space="preserve">   Niveaux</v>
      </c>
      <c r="C1055">
        <v>4335677</v>
      </c>
      <c r="D1055">
        <v>387</v>
      </c>
    </row>
    <row r="1056" spans="1:4" x14ac:dyDescent="0.25">
      <c r="A1056" t="str">
        <f>T("   901580")</f>
        <v xml:space="preserve">   901580</v>
      </c>
      <c r="B1056" t="s">
        <v>496</v>
      </c>
      <c r="C1056">
        <v>1075774</v>
      </c>
      <c r="D1056">
        <v>900</v>
      </c>
    </row>
    <row r="1057" spans="1:4" x14ac:dyDescent="0.25">
      <c r="A1057" t="str">
        <f>T("   901600")</f>
        <v xml:space="preserve">   901600</v>
      </c>
      <c r="B1057" t="str">
        <f>T("   Balances sensibles à un poids de 5 cg ou moins, avec ou sans poids")</f>
        <v xml:space="preserve">   Balances sensibles à un poids de 5 cg ou moins, avec ou sans poids</v>
      </c>
      <c r="C1057">
        <v>411129</v>
      </c>
      <c r="D1057">
        <v>10</v>
      </c>
    </row>
    <row r="1058" spans="1:4" x14ac:dyDescent="0.25">
      <c r="A1058" t="str">
        <f>T("   901730")</f>
        <v xml:space="preserve">   901730</v>
      </c>
      <c r="B1058" t="str">
        <f>T("   Micromètres, pieds à coulisses, calibres et jauges")</f>
        <v xml:space="preserve">   Micromètres, pieds à coulisses, calibres et jauges</v>
      </c>
      <c r="C1058">
        <v>81655</v>
      </c>
      <c r="D1058">
        <v>2</v>
      </c>
    </row>
    <row r="1059" spans="1:4" x14ac:dyDescent="0.25">
      <c r="A1059" t="str">
        <f>T("   901780")</f>
        <v xml:space="preserve">   901780</v>
      </c>
      <c r="B1059" t="str">
        <f>T("   Instruments de mesure de longueurs, pour emploi à la main, n.d.a.")</f>
        <v xml:space="preserve">   Instruments de mesure de longueurs, pour emploi à la main, n.d.a.</v>
      </c>
      <c r="C1059">
        <v>1746087</v>
      </c>
      <c r="D1059">
        <v>949</v>
      </c>
    </row>
    <row r="1060" spans="1:4" x14ac:dyDescent="0.25">
      <c r="A1060" t="str">
        <f>T("   901831")</f>
        <v xml:space="preserve">   901831</v>
      </c>
      <c r="B1060" t="str">
        <f>T("   Seringues, avec ou sans aiguilles, pour la médecine")</f>
        <v xml:space="preserve">   Seringues, avec ou sans aiguilles, pour la médecine</v>
      </c>
      <c r="C1060">
        <v>710844</v>
      </c>
      <c r="D1060">
        <v>85</v>
      </c>
    </row>
    <row r="1061" spans="1:4" x14ac:dyDescent="0.25">
      <c r="A1061" t="str">
        <f>T("   901839")</f>
        <v xml:space="preserve">   901839</v>
      </c>
      <c r="B1061" t="str">
        <f>T("   AIGUILLES, CTHEÉTERS, CANULES ET SIMIL. POUR LA MÉDECINE (SAUF SERINGUES, AIGUILLES TUBULAIRES EN MÉTAL ET AIGUILLES À SUTURES)")</f>
        <v xml:space="preserve">   AIGUILLES, CTHEÉTERS, CANULES ET SIMIL. POUR LA MÉDECINE (SAUF SERINGUES, AIGUILLES TUBULAIRES EN MÉTAL ET AIGUILLES À SUTURES)</v>
      </c>
      <c r="C1061">
        <v>366026</v>
      </c>
      <c r="D1061">
        <v>16</v>
      </c>
    </row>
    <row r="1062" spans="1:4" x14ac:dyDescent="0.25">
      <c r="A1062" t="str">
        <f>T("   901849")</f>
        <v xml:space="preserve">   901849</v>
      </c>
      <c r="B1062" t="str">
        <f>T("   Instruments et appareils pour l'art dentaire, n.d.a.")</f>
        <v xml:space="preserve">   Instruments et appareils pour l'art dentaire, n.d.a.</v>
      </c>
      <c r="C1062">
        <v>608775</v>
      </c>
      <c r="D1062">
        <v>75</v>
      </c>
    </row>
    <row r="1063" spans="1:4" x14ac:dyDescent="0.25">
      <c r="A1063" t="str">
        <f>T("   901890")</f>
        <v xml:space="preserve">   901890</v>
      </c>
      <c r="B1063" t="str">
        <f>T("   Instruments et appareils pour la médecine, la chirurgie ou l'art vétérinaire, n.d.a.")</f>
        <v xml:space="preserve">   Instruments et appareils pour la médecine, la chirurgie ou l'art vétérinaire, n.d.a.</v>
      </c>
      <c r="C1063">
        <v>16064355</v>
      </c>
      <c r="D1063">
        <v>11595</v>
      </c>
    </row>
    <row r="1064" spans="1:4" x14ac:dyDescent="0.25">
      <c r="A1064" t="str">
        <f>T("   902290")</f>
        <v xml:space="preserve">   902290</v>
      </c>
      <c r="B1064" t="s">
        <v>499</v>
      </c>
      <c r="C1064">
        <v>1454263</v>
      </c>
      <c r="D1064">
        <v>84</v>
      </c>
    </row>
    <row r="1065" spans="1:4" x14ac:dyDescent="0.25">
      <c r="A1065" t="str">
        <f>T("   902480")</f>
        <v xml:space="preserve">   902480</v>
      </c>
      <c r="B1065" t="str">
        <f>T("   Machines et appareils d'essais des propriétés mécaniques des matériaux (autres que les métaux)")</f>
        <v xml:space="preserve">   Machines et appareils d'essais des propriétés mécaniques des matériaux (autres que les métaux)</v>
      </c>
      <c r="C1065">
        <v>36515123</v>
      </c>
      <c r="D1065">
        <v>2693</v>
      </c>
    </row>
    <row r="1066" spans="1:4" x14ac:dyDescent="0.25">
      <c r="A1066" t="str">
        <f>T("   902511")</f>
        <v xml:space="preserve">   902511</v>
      </c>
      <c r="B1066" t="str">
        <f>T("   THERMOMÈTRES À LIQUIDE, À LECTURE DIRECTE, NON-COMBINÉS À D'AUTRES INSTRUMENTS")</f>
        <v xml:space="preserve">   THERMOMÈTRES À LIQUIDE, À LECTURE DIRECTE, NON-COMBINÉS À D'AUTRES INSTRUMENTS</v>
      </c>
      <c r="C1066">
        <v>282548</v>
      </c>
      <c r="D1066">
        <v>8</v>
      </c>
    </row>
    <row r="1067" spans="1:4" x14ac:dyDescent="0.25">
      <c r="A1067" t="str">
        <f>T("   902519")</f>
        <v xml:space="preserve">   902519</v>
      </c>
      <c r="B1067" t="str">
        <f>T("   THERMOMÈTRES ET PYROMÈTRES, NON-COMBINÉS À D'AUTRES INSTRUMENTS (À L'EXCL. DES THERMOMÈTRES À LIQUIDE, À LECTURE DIRECTE) [01/01/1988-31/12/1991: THERMOMÈTRES, NON COMBINES A D'AUTRES INSTRUMENTS, (NON REPR. SOUS 9025.11)]")</f>
        <v xml:space="preserve">   THERMOMÈTRES ET PYROMÈTRES, NON-COMBINÉS À D'AUTRES INSTRUMENTS (À L'EXCL. DES THERMOMÈTRES À LIQUIDE, À LECTURE DIRECTE) [01/01/1988-31/12/1991: THERMOMÈTRES, NON COMBINES A D'AUTRES INSTRUMENTS, (NON REPR. SOUS 9025.11)]</v>
      </c>
      <c r="C1067">
        <v>557205</v>
      </c>
      <c r="D1067">
        <v>2</v>
      </c>
    </row>
    <row r="1068" spans="1:4" x14ac:dyDescent="0.25">
      <c r="A1068" t="str">
        <f>T("   902610")</f>
        <v xml:space="preserve">   902610</v>
      </c>
      <c r="B1068" t="str">
        <f>T("   Instruments et appareils pour la mesure ou le contrôle du débit ou du niveau des liquides (à l'excl. des compteurs et des instruments et appareils pour la régulation ou le contrôle automatiques)")</f>
        <v xml:space="preserve">   Instruments et appareils pour la mesure ou le contrôle du débit ou du niveau des liquides (à l'excl. des compteurs et des instruments et appareils pour la régulation ou le contrôle automatiques)</v>
      </c>
      <c r="C1068">
        <v>1479583</v>
      </c>
      <c r="D1068">
        <v>37.799999999999997</v>
      </c>
    </row>
    <row r="1069" spans="1:4" x14ac:dyDescent="0.25">
      <c r="A1069" t="str">
        <f>T("   902620")</f>
        <v xml:space="preserve">   902620</v>
      </c>
      <c r="B1069" t="str">
        <f>T("   Instruments et appareils pour la mesure ou le contrôle de la pression des liquides ou des gaz (à l'excl. des instruments et appareils pour la régulation ou le contrôle automatiques)")</f>
        <v xml:space="preserve">   Instruments et appareils pour la mesure ou le contrôle de la pression des liquides ou des gaz (à l'excl. des instruments et appareils pour la régulation ou le contrôle automatiques)</v>
      </c>
      <c r="C1069">
        <v>7530796</v>
      </c>
      <c r="D1069">
        <v>81.38</v>
      </c>
    </row>
    <row r="1070" spans="1:4" x14ac:dyDescent="0.25">
      <c r="A1070" t="str">
        <f>T("   902690")</f>
        <v xml:space="preserve">   902690</v>
      </c>
      <c r="B1070" t="str">
        <f>T("   Parties et accessoires des instruments et appareils pour la mesure ou le contrôle du débit, du niveau, de la pression ou d'autres caractéristiques variables des liquides ou des gaz, n.d.a.")</f>
        <v xml:space="preserve">   Parties et accessoires des instruments et appareils pour la mesure ou le contrôle du débit, du niveau, de la pression ou d'autres caractéristiques variables des liquides ou des gaz, n.d.a.</v>
      </c>
      <c r="C1070">
        <v>391721</v>
      </c>
      <c r="D1070">
        <v>2</v>
      </c>
    </row>
    <row r="1071" spans="1:4" x14ac:dyDescent="0.25">
      <c r="A1071" t="str">
        <f>T("   902820")</f>
        <v xml:space="preserve">   902820</v>
      </c>
      <c r="B1071" t="str">
        <f>T("   Compteurs de liquides, y.c. les compteurs pour leur étalonnage")</f>
        <v xml:space="preserve">   Compteurs de liquides, y.c. les compteurs pour leur étalonnage</v>
      </c>
      <c r="C1071">
        <v>7807236</v>
      </c>
      <c r="D1071">
        <v>2950</v>
      </c>
    </row>
    <row r="1072" spans="1:4" x14ac:dyDescent="0.25">
      <c r="A1072" t="str">
        <f>T("   902910")</f>
        <v xml:space="preserve">   902910</v>
      </c>
      <c r="B1072" t="str">
        <f>T("   Compteurs de tours, compteurs de production, taximètres, totalisateurs de chemin parcouru, podomètres et compteurs simil. (à l'excl. des compteurs de gaz, de liquides et d'électricité)")</f>
        <v xml:space="preserve">   Compteurs de tours, compteurs de production, taximètres, totalisateurs de chemin parcouru, podomètres et compteurs simil. (à l'excl. des compteurs de gaz, de liquides et d'électricité)</v>
      </c>
      <c r="C1072">
        <v>217779</v>
      </c>
      <c r="D1072">
        <v>6</v>
      </c>
    </row>
    <row r="1073" spans="1:4" x14ac:dyDescent="0.25">
      <c r="A1073" t="str">
        <f>T("   903190")</f>
        <v xml:space="preserve">   903190</v>
      </c>
      <c r="B1073" t="str">
        <f>T("   Parties et accessoires des instruments, appareils et machines de mesure ou de contrôle, n.d.a.")</f>
        <v xml:space="preserve">   Parties et accessoires des instruments, appareils et machines de mesure ou de contrôle, n.d.a.</v>
      </c>
      <c r="C1073">
        <v>3281914</v>
      </c>
      <c r="D1073">
        <v>11</v>
      </c>
    </row>
    <row r="1074" spans="1:4" x14ac:dyDescent="0.25">
      <c r="A1074" t="str">
        <f>T("   903289")</f>
        <v xml:space="preserve">   903289</v>
      </c>
      <c r="B1074" t="s">
        <v>503</v>
      </c>
      <c r="C1074">
        <v>4155861</v>
      </c>
      <c r="D1074">
        <v>1607</v>
      </c>
    </row>
    <row r="1075" spans="1:4" x14ac:dyDescent="0.25">
      <c r="A1075" t="str">
        <f>T("   903290")</f>
        <v xml:space="preserve">   903290</v>
      </c>
      <c r="B1075" t="str">
        <f>T("   Parties et accessoires des instruments et appareils pour la régulation ou le contrôle automatiques, n.d.a.")</f>
        <v xml:space="preserve">   Parties et accessoires des instruments et appareils pour la régulation ou le contrôle automatiques, n.d.a.</v>
      </c>
      <c r="C1075">
        <v>4540824</v>
      </c>
      <c r="D1075">
        <v>8</v>
      </c>
    </row>
    <row r="1076" spans="1:4" x14ac:dyDescent="0.25">
      <c r="A1076" t="str">
        <f>T("   903300")</f>
        <v xml:space="preserve">   903300</v>
      </c>
      <c r="B1076" t="str">
        <f>T("   Parties et accessoires pour machines, appareils, instruments ou articles du chapitre 90, non dénommés ni compris dans le présent chapitre ou ailleurs")</f>
        <v xml:space="preserve">   Parties et accessoires pour machines, appareils, instruments ou articles du chapitre 90, non dénommés ni compris dans le présent chapitre ou ailleurs</v>
      </c>
      <c r="C1076">
        <v>1717959</v>
      </c>
      <c r="D1076">
        <v>6</v>
      </c>
    </row>
    <row r="1077" spans="1:4" x14ac:dyDescent="0.25">
      <c r="A1077" t="str">
        <f>T("   920790")</f>
        <v xml:space="preserve">   920790</v>
      </c>
      <c r="B1077" t="str">
        <f>T("   Accordéons électriques et autres instruments de musique électriques")</f>
        <v xml:space="preserve">   Accordéons électriques et autres instruments de musique électriques</v>
      </c>
      <c r="C1077">
        <v>200000</v>
      </c>
      <c r="D1077">
        <v>100</v>
      </c>
    </row>
    <row r="1078" spans="1:4" x14ac:dyDescent="0.25">
      <c r="A1078" t="str">
        <f>T("   940169")</f>
        <v xml:space="preserve">   940169</v>
      </c>
      <c r="B1078" t="str">
        <f>T("   Sièges, avec bâti en bois, non rembourrés")</f>
        <v xml:space="preserve">   Sièges, avec bâti en bois, non rembourrés</v>
      </c>
      <c r="C1078">
        <v>666405</v>
      </c>
      <c r="D1078">
        <v>423</v>
      </c>
    </row>
    <row r="1079" spans="1:4" x14ac:dyDescent="0.25">
      <c r="A1079" t="str">
        <f>T("   940180")</f>
        <v xml:space="preserve">   940180</v>
      </c>
      <c r="B1079" t="str">
        <f>T("   Sièges, n.d.a.")</f>
        <v xml:space="preserve">   Sièges, n.d.a.</v>
      </c>
      <c r="C1079">
        <v>309738</v>
      </c>
      <c r="D1079">
        <v>400</v>
      </c>
    </row>
    <row r="1080" spans="1:4" x14ac:dyDescent="0.25">
      <c r="A1080" t="str">
        <f>T("   940340")</f>
        <v xml:space="preserve">   940340</v>
      </c>
      <c r="B1080" t="str">
        <f>T("   Meubles de cuisine, en bois (sauf sièges)")</f>
        <v xml:space="preserve">   Meubles de cuisine, en bois (sauf sièges)</v>
      </c>
      <c r="C1080">
        <v>36308310</v>
      </c>
      <c r="D1080">
        <v>78000</v>
      </c>
    </row>
    <row r="1081" spans="1:4" x14ac:dyDescent="0.25">
      <c r="A1081" t="str">
        <f>T("   940350")</f>
        <v xml:space="preserve">   940350</v>
      </c>
      <c r="B1081" t="str">
        <f>T("   Meubles pour chambres à coucher, en bois (sauf sièges)")</f>
        <v xml:space="preserve">   Meubles pour chambres à coucher, en bois (sauf sièges)</v>
      </c>
      <c r="C1081">
        <v>19711943</v>
      </c>
      <c r="D1081">
        <v>38089</v>
      </c>
    </row>
    <row r="1082" spans="1:4" x14ac:dyDescent="0.25">
      <c r="A1082" t="str">
        <f>T("   940360")</f>
        <v xml:space="preserve">   940360</v>
      </c>
      <c r="B1082" t="str">
        <f>T("   Meubles en bois (autres que pour bureaux, cuisines ou chambres à coucher et autres que sièges)")</f>
        <v xml:space="preserve">   Meubles en bois (autres que pour bureaux, cuisines ou chambres à coucher et autres que sièges)</v>
      </c>
      <c r="C1082">
        <v>17730860</v>
      </c>
      <c r="D1082">
        <v>27884</v>
      </c>
    </row>
    <row r="1083" spans="1:4" x14ac:dyDescent="0.25">
      <c r="A1083" t="str">
        <f>T("   940370")</f>
        <v xml:space="preserve">   940370</v>
      </c>
      <c r="B1083" t="str">
        <f>T("   Meubles en matières plastiques (autres que pour la médecine, l'art dentaire et vétérinaire, la chirurgie et autres que sièges)")</f>
        <v xml:space="preserve">   Meubles en matières plastiques (autres que pour la médecine, l'art dentaire et vétérinaire, la chirurgie et autres que sièges)</v>
      </c>
      <c r="C1083">
        <v>148247</v>
      </c>
      <c r="D1083">
        <v>4</v>
      </c>
    </row>
    <row r="1084" spans="1:4" x14ac:dyDescent="0.25">
      <c r="A1084" t="str">
        <f>T("   940380")</f>
        <v xml:space="preserve">   940380</v>
      </c>
      <c r="B1084" t="str">
        <f>T("   Meubles en rotin, osier, bambou ou autres matières (sauf métal, bois et matières plastiques)")</f>
        <v xml:space="preserve">   Meubles en rotin, osier, bambou ou autres matières (sauf métal, bois et matières plastiques)</v>
      </c>
      <c r="C1084">
        <v>25838547</v>
      </c>
      <c r="D1084">
        <v>46890</v>
      </c>
    </row>
    <row r="1085" spans="1:4" x14ac:dyDescent="0.25">
      <c r="A1085" t="str">
        <f>T("   940429")</f>
        <v xml:space="preserve">   940429</v>
      </c>
      <c r="B1085" t="str">
        <f>T("   Matelas à ressorts ou rembourrés, ou garnis intérieurement de matières autres que le caoutchouc alvéolaire ou les matières plastiques alvéolaires (sauf matelas à eau, matelas pneumatiques et oreillers)")</f>
        <v xml:space="preserve">   Matelas à ressorts ou rembourrés, ou garnis intérieurement de matières autres que le caoutchouc alvéolaire ou les matières plastiques alvéolaires (sauf matelas à eau, matelas pneumatiques et oreillers)</v>
      </c>
      <c r="C1085">
        <v>4681997</v>
      </c>
      <c r="D1085">
        <v>9290</v>
      </c>
    </row>
    <row r="1086" spans="1:4" x14ac:dyDescent="0.25">
      <c r="A1086" t="str">
        <f>T("   940490")</f>
        <v xml:space="preserve">   940490</v>
      </c>
      <c r="B1086" t="s">
        <v>508</v>
      </c>
      <c r="C1086">
        <v>2688125</v>
      </c>
      <c r="D1086">
        <v>1762</v>
      </c>
    </row>
    <row r="1087" spans="1:4" x14ac:dyDescent="0.25">
      <c r="A1087" t="str">
        <f>T("   940510")</f>
        <v xml:space="preserve">   940510</v>
      </c>
      <c r="B1087" t="str">
        <f>T("   Lustres et autres appareils d'éclairage électrique à suspendre ou à fixer au plafond ou au mur (sauf pour l'éclairage des espaces et voies publiques)")</f>
        <v xml:space="preserve">   Lustres et autres appareils d'éclairage électrique à suspendre ou à fixer au plafond ou au mur (sauf pour l'éclairage des espaces et voies publiques)</v>
      </c>
      <c r="C1087">
        <v>18636479</v>
      </c>
      <c r="D1087">
        <v>2961</v>
      </c>
    </row>
    <row r="1088" spans="1:4" x14ac:dyDescent="0.25">
      <c r="A1088" t="str">
        <f>T("   940520")</f>
        <v xml:space="preserve">   940520</v>
      </c>
      <c r="B1088" t="str">
        <f>T("   Lampes de chevet, lampes de bureau et lampadaires d'intérieur, électriques")</f>
        <v xml:space="preserve">   Lampes de chevet, lampes de bureau et lampadaires d'intérieur, électriques</v>
      </c>
      <c r="C1088">
        <v>120041</v>
      </c>
      <c r="D1088">
        <v>19</v>
      </c>
    </row>
    <row r="1089" spans="1:4" x14ac:dyDescent="0.25">
      <c r="A1089" t="str">
        <f>T("   940560")</f>
        <v xml:space="preserve">   940560</v>
      </c>
      <c r="B1089" t="str">
        <f>T("   Lampes-réclames, enseignes lumineuses, plaques indicatrices lumineuses et articles simil., possédant une source d'éclairage fixée à demeure")</f>
        <v xml:space="preserve">   Lampes-réclames, enseignes lumineuses, plaques indicatrices lumineuses et articles simil., possédant une source d'éclairage fixée à demeure</v>
      </c>
      <c r="C1089">
        <v>5351758</v>
      </c>
      <c r="D1089">
        <v>1594</v>
      </c>
    </row>
    <row r="1090" spans="1:4" x14ac:dyDescent="0.25">
      <c r="A1090" t="str">
        <f>T("   940600")</f>
        <v xml:space="preserve">   940600</v>
      </c>
      <c r="B1090" t="str">
        <f>T("   Constructions préfabriquées, même incomplètes ou non encore montées")</f>
        <v xml:space="preserve">   Constructions préfabriquées, même incomplètes ou non encore montées</v>
      </c>
      <c r="C1090">
        <v>10512535</v>
      </c>
      <c r="D1090">
        <v>4540</v>
      </c>
    </row>
    <row r="1091" spans="1:4" x14ac:dyDescent="0.25">
      <c r="A1091" t="str">
        <f>T("   950299")</f>
        <v xml:space="preserve">   950299</v>
      </c>
      <c r="B1091" t="str">
        <f>T("   Parties et accessoires pour poupées représentant uniquement l'être humain, n.d.a.")</f>
        <v xml:space="preserve">   Parties et accessoires pour poupées représentant uniquement l'être humain, n.d.a.</v>
      </c>
      <c r="C1091">
        <v>222371</v>
      </c>
      <c r="D1091">
        <v>50</v>
      </c>
    </row>
    <row r="1092" spans="1:4" x14ac:dyDescent="0.25">
      <c r="A1092" t="str">
        <f>T("   950341")</f>
        <v xml:space="preserve">   950341</v>
      </c>
      <c r="B1092" t="str">
        <f>T("   Jouets représentant des animaux ou des créatures non humaines, rembourrés")</f>
        <v xml:space="preserve">   Jouets représentant des animaux ou des créatures non humaines, rembourrés</v>
      </c>
      <c r="C1092">
        <v>1249604</v>
      </c>
      <c r="D1092">
        <v>1550</v>
      </c>
    </row>
    <row r="1093" spans="1:4" x14ac:dyDescent="0.25">
      <c r="A1093" t="str">
        <f>T("   950390")</f>
        <v xml:space="preserve">   950390</v>
      </c>
      <c r="B1093" t="str">
        <f>T("   Jouets, n.d.a.")</f>
        <v xml:space="preserve">   Jouets, n.d.a.</v>
      </c>
      <c r="C1093">
        <v>5838140</v>
      </c>
      <c r="D1093">
        <v>6640</v>
      </c>
    </row>
    <row r="1094" spans="1:4" x14ac:dyDescent="0.25">
      <c r="A1094" t="str">
        <f>T("   950430")</f>
        <v xml:space="preserve">   950430</v>
      </c>
      <c r="B1094" t="s">
        <v>509</v>
      </c>
      <c r="C1094">
        <v>15215884</v>
      </c>
      <c r="D1094">
        <v>5000</v>
      </c>
    </row>
    <row r="1095" spans="1:4" x14ac:dyDescent="0.25">
      <c r="A1095" t="str">
        <f>T("   950490")</f>
        <v xml:space="preserve">   950490</v>
      </c>
      <c r="B1095" t="s">
        <v>510</v>
      </c>
      <c r="C1095">
        <v>1817888</v>
      </c>
      <c r="D1095">
        <v>2539</v>
      </c>
    </row>
    <row r="1096" spans="1:4" x14ac:dyDescent="0.25">
      <c r="A1096" t="str">
        <f>T("   950510")</f>
        <v xml:space="preserve">   950510</v>
      </c>
      <c r="B1096" t="str">
        <f>T("   Articles pour fêtes de Noël (sauf bougies et guirlandes électriques)")</f>
        <v xml:space="preserve">   Articles pour fêtes de Noël (sauf bougies et guirlandes électriques)</v>
      </c>
      <c r="C1096">
        <v>2237996</v>
      </c>
      <c r="D1096">
        <v>2696</v>
      </c>
    </row>
    <row r="1097" spans="1:4" x14ac:dyDescent="0.25">
      <c r="A1097" t="str">
        <f>T("   950662")</f>
        <v xml:space="preserve">   950662</v>
      </c>
      <c r="B1097" t="str">
        <f>T("   Ballons et balles gonflables")</f>
        <v xml:space="preserve">   Ballons et balles gonflables</v>
      </c>
      <c r="C1097">
        <v>223800</v>
      </c>
      <c r="D1097">
        <v>76</v>
      </c>
    </row>
    <row r="1098" spans="1:4" x14ac:dyDescent="0.25">
      <c r="A1098" t="str">
        <f>T("   950669")</f>
        <v xml:space="preserve">   950669</v>
      </c>
      <c r="B1098" t="str">
        <f>T("   Ballons et balles (autres que gonflables et autres que balles de golf ou de tennis de table)")</f>
        <v xml:space="preserve">   Ballons et balles (autres que gonflables et autres que balles de golf ou de tennis de table)</v>
      </c>
      <c r="C1098">
        <v>3280</v>
      </c>
      <c r="D1098">
        <v>22</v>
      </c>
    </row>
    <row r="1099" spans="1:4" x14ac:dyDescent="0.25">
      <c r="A1099" t="str">
        <f>T("   950699")</f>
        <v xml:space="preserve">   950699</v>
      </c>
      <c r="B1099" t="str">
        <f>T("   Articles et matériel pour le sport et les jeux de plein air, n.d.a.; piscines et pataugeoires")</f>
        <v xml:space="preserve">   Articles et matériel pour le sport et les jeux de plein air, n.d.a.; piscines et pataugeoires</v>
      </c>
      <c r="C1099">
        <v>4480762</v>
      </c>
      <c r="D1099">
        <v>7911</v>
      </c>
    </row>
    <row r="1100" spans="1:4" x14ac:dyDescent="0.25">
      <c r="A1100" t="str">
        <f>T("   960321")</f>
        <v xml:space="preserve">   960321</v>
      </c>
      <c r="B1100" t="str">
        <f>T("   Brosses à dent, y.c. brosses à prothèses dentaires")</f>
        <v xml:space="preserve">   Brosses à dent, y.c. brosses à prothèses dentaires</v>
      </c>
      <c r="C1100">
        <v>2099614</v>
      </c>
      <c r="D1100">
        <v>3336</v>
      </c>
    </row>
    <row r="1101" spans="1:4" x14ac:dyDescent="0.25">
      <c r="A1101" t="str">
        <f>T("   960340")</f>
        <v xml:space="preserve">   960340</v>
      </c>
      <c r="B1101" t="str">
        <f>T("   Brosses et pinceaux à peindre, à badigeonner, à vernir ou simil., sauf pinceaux pour artistes et pinceaux simil. du n° 9603.30; tampons et rouleaux à peindre")</f>
        <v xml:space="preserve">   Brosses et pinceaux à peindre, à badigeonner, à vernir ou simil., sauf pinceaux pour artistes et pinceaux simil. du n° 9603.30; tampons et rouleaux à peindre</v>
      </c>
      <c r="C1101">
        <v>1262723</v>
      </c>
      <c r="D1101">
        <v>2069</v>
      </c>
    </row>
    <row r="1102" spans="1:4" x14ac:dyDescent="0.25">
      <c r="A1102" t="str">
        <f>T("   960390")</f>
        <v xml:space="preserve">   960390</v>
      </c>
      <c r="B1102" t="str">
        <f>T("   ARTICLES DE BROSSERIE (SAUF DU N° 9603.10 À 9603.50), P.EX. TÊTES PRÉPARÉES POUR ARTICLES DE BROSSERIE ET RACLETTES EN CAOUTCHOUC OU EN MATIÈRES SOUPLES ANALOGUES")</f>
        <v xml:space="preserve">   ARTICLES DE BROSSERIE (SAUF DU N° 9603.10 À 9603.50), P.EX. TÊTES PRÉPARÉES POUR ARTICLES DE BROSSERIE ET RACLETTES EN CAOUTCHOUC OU EN MATIÈRES SOUPLES ANALOGUES</v>
      </c>
      <c r="C1102">
        <v>112825</v>
      </c>
      <c r="D1102">
        <v>58</v>
      </c>
    </row>
    <row r="1103" spans="1:4" x14ac:dyDescent="0.25">
      <c r="A1103" t="str">
        <f>T("   960810")</f>
        <v xml:space="preserve">   960810</v>
      </c>
      <c r="B1103" t="str">
        <f>T("   Stylos et crayons à bille")</f>
        <v xml:space="preserve">   Stylos et crayons à bille</v>
      </c>
      <c r="C1103">
        <v>390835</v>
      </c>
      <c r="D1103">
        <v>872</v>
      </c>
    </row>
    <row r="1104" spans="1:4" x14ac:dyDescent="0.25">
      <c r="A1104" t="str">
        <f>T("   960839")</f>
        <v xml:space="preserve">   960839</v>
      </c>
      <c r="B1104" t="str">
        <f>T("   Stylos à plume et autres stylos (autres qu'à dessiner à l'encre de Chine)")</f>
        <v xml:space="preserve">   Stylos à plume et autres stylos (autres qu'à dessiner à l'encre de Chine)</v>
      </c>
      <c r="C1104">
        <v>883444</v>
      </c>
      <c r="D1104">
        <v>552</v>
      </c>
    </row>
    <row r="1105" spans="1:4" x14ac:dyDescent="0.25">
      <c r="A1105" t="str">
        <f>T("   960891")</f>
        <v xml:space="preserve">   960891</v>
      </c>
      <c r="B1105" t="str">
        <f>T("   Plumes à écrire et becs pour plumes")</f>
        <v xml:space="preserve">   Plumes à écrire et becs pour plumes</v>
      </c>
      <c r="C1105">
        <v>9839</v>
      </c>
      <c r="D1105">
        <v>10</v>
      </c>
    </row>
    <row r="1106" spans="1:4" x14ac:dyDescent="0.25">
      <c r="A1106" t="str">
        <f>T("   970110")</f>
        <v xml:space="preserve">   970110</v>
      </c>
      <c r="B1106" t="str">
        <f>T("   Tableaux, p.ex. peintures à l'huile, aquarelles et pastels, et dessins, faits entièrement à la main (à l'excl. des dessins du n° 4906 et des articles manufacturés décorés à la main)")</f>
        <v xml:space="preserve">   Tableaux, p.ex. peintures à l'huile, aquarelles et pastels, et dessins, faits entièrement à la main (à l'excl. des dessins du n° 4906 et des articles manufacturés décorés à la main)</v>
      </c>
      <c r="C1106">
        <v>228274</v>
      </c>
      <c r="D1106">
        <v>225</v>
      </c>
    </row>
    <row r="1107" spans="1:4" x14ac:dyDescent="0.25">
      <c r="A1107" t="str">
        <f>T("BF")</f>
        <v>BF</v>
      </c>
      <c r="B1107" t="str">
        <f>T("Burkina Faso")</f>
        <v>Burkina Faso</v>
      </c>
    </row>
    <row r="1108" spans="1:4" x14ac:dyDescent="0.25">
      <c r="A1108" t="str">
        <f>T("   ZZ_Total_Produit_SH6")</f>
        <v xml:space="preserve">   ZZ_Total_Produit_SH6</v>
      </c>
      <c r="B1108" t="str">
        <f>T("   ZZ_Total_Produit_SH6")</f>
        <v xml:space="preserve">   ZZ_Total_Produit_SH6</v>
      </c>
      <c r="C1108">
        <v>93556699</v>
      </c>
      <c r="D1108">
        <v>674608</v>
      </c>
    </row>
    <row r="1109" spans="1:4" x14ac:dyDescent="0.25">
      <c r="A1109" t="str">
        <f>T("   271011")</f>
        <v xml:space="preserve">   271011</v>
      </c>
      <c r="B1109" t="str">
        <f>T("   HUILES LÉGÈRES ET PRÉPARATIONS DE PÉTROLE OU DE MINÉRAUX BITUMINEUX DISTILLANT EN VOLUME, Y.C. LES PERTES, &gt;= 90% À 210°C, D'APRÈS LA MÉTHODE ASTM D 86")</f>
        <v xml:space="preserve">   HUILES LÉGÈRES ET PRÉPARATIONS DE PÉTROLE OU DE MINÉRAUX BITUMINEUX DISTILLANT EN VOLUME, Y.C. LES PERTES, &gt;= 90% À 210°C, D'APRÈS LA MÉTHODE ASTM D 86</v>
      </c>
      <c r="C1109">
        <v>26792150</v>
      </c>
      <c r="D1109">
        <v>635612</v>
      </c>
    </row>
    <row r="1110" spans="1:4" x14ac:dyDescent="0.25">
      <c r="A1110" t="str">
        <f>T("   520859")</f>
        <v xml:space="preserve">   520859</v>
      </c>
      <c r="B1110" t="str">
        <f>T("   TISSUS DE COTON, IMPRIMÉS, CONTENANT &gt;= 85% EN POIDS DE COTON, D'UN POIDS &lt;= 200 G/M² (À L'EXCL. DES TISSUS À ARMURE TOILE)")</f>
        <v xml:space="preserve">   TISSUS DE COTON, IMPRIMÉS, CONTENANT &gt;= 85% EN POIDS DE COTON, D'UN POIDS &lt;= 200 G/M² (À L'EXCL. DES TISSUS À ARMURE TOILE)</v>
      </c>
      <c r="C1110">
        <v>5617969</v>
      </c>
      <c r="D1110">
        <v>9062</v>
      </c>
    </row>
    <row r="1111" spans="1:4" x14ac:dyDescent="0.25">
      <c r="A1111" t="str">
        <f>T("   520951")</f>
        <v xml:space="preserve">   520951</v>
      </c>
      <c r="B1111" t="str">
        <f>T("   Tissus de coton, imprimés, à armure toile, contenant &gt;= 85% en poids de coton, d'un poids &gt; 200 g/m²")</f>
        <v xml:space="preserve">   Tissus de coton, imprimés, à armure toile, contenant &gt;= 85% en poids de coton, d'un poids &gt; 200 g/m²</v>
      </c>
      <c r="C1111">
        <v>425000</v>
      </c>
      <c r="D1111">
        <v>383</v>
      </c>
    </row>
    <row r="1112" spans="1:4" x14ac:dyDescent="0.25">
      <c r="A1112" t="str">
        <f>T("   520959")</f>
        <v xml:space="preserve">   520959</v>
      </c>
      <c r="B1112" t="str">
        <f>T("   Tissus de coton, imprimés, contenant &gt;= 85% en poids de coton, d'un poids &gt; 200 g/m² (à l'excl. des tissus à armure toile ou à armure sergé [y.c. le croisé] d'un rapport d'armure &lt;= 4)")</f>
        <v xml:space="preserve">   Tissus de coton, imprimés, contenant &gt;= 85% en poids de coton, d'un poids &gt; 200 g/m² (à l'excl. des tissus à armure toile ou à armure sergé [y.c. le croisé] d'un rapport d'armure &lt;= 4)</v>
      </c>
      <c r="C1112">
        <v>4488782</v>
      </c>
      <c r="D1112">
        <v>5060</v>
      </c>
    </row>
    <row r="1113" spans="1:4" x14ac:dyDescent="0.25">
      <c r="A1113" t="str">
        <f>T("   521051")</f>
        <v xml:space="preserve">   521051</v>
      </c>
      <c r="B1113" t="str">
        <f>T("   Tissus de coton, imprimés, à armure toile, contenant en prédominance, mais &lt; 85% en poids de coton, mélangés principalement ou uniquement avec des fibres synthétiques ou artificielles, d'un poids &lt;= 200 g/m²")</f>
        <v xml:space="preserve">   Tissus de coton, imprimés, à armure toile, contenant en prédominance, mais &lt; 85% en poids de coton, mélangés principalement ou uniquement avec des fibres synthétiques ou artificielles, d'un poids &lt;= 200 g/m²</v>
      </c>
      <c r="C1113">
        <v>800000</v>
      </c>
      <c r="D1113">
        <v>215</v>
      </c>
    </row>
    <row r="1114" spans="1:4" x14ac:dyDescent="0.25">
      <c r="A1114" t="str">
        <f>T("   847290")</f>
        <v xml:space="preserve">   847290</v>
      </c>
      <c r="B1114" t="str">
        <f>T("   Machines et appareils de bureau, n.d.a.")</f>
        <v xml:space="preserve">   Machines et appareils de bureau, n.d.a.</v>
      </c>
      <c r="C1114">
        <v>1500000</v>
      </c>
      <c r="D1114">
        <v>190</v>
      </c>
    </row>
    <row r="1115" spans="1:4" x14ac:dyDescent="0.25">
      <c r="A1115" t="str">
        <f>T("   850440")</f>
        <v xml:space="preserve">   850440</v>
      </c>
      <c r="B1115" t="str">
        <f>T("   CONVERTISSEURS STATIQUES")</f>
        <v xml:space="preserve">   CONVERTISSEURS STATIQUES</v>
      </c>
      <c r="C1115">
        <v>1763125</v>
      </c>
      <c r="D1115">
        <v>600</v>
      </c>
    </row>
    <row r="1116" spans="1:4" x14ac:dyDescent="0.25">
      <c r="A1116" t="str">
        <f>T("   870120")</f>
        <v xml:space="preserve">   870120</v>
      </c>
      <c r="B1116" t="str">
        <f>T("   Tracteurs routiers pour semi-remorques")</f>
        <v xml:space="preserve">   Tracteurs routiers pour semi-remorques</v>
      </c>
      <c r="C1116">
        <v>2000000</v>
      </c>
      <c r="D1116">
        <v>6650</v>
      </c>
    </row>
    <row r="1117" spans="1:4" x14ac:dyDescent="0.25">
      <c r="A1117" t="str">
        <f>T("   870322")</f>
        <v xml:space="preserve">   870322</v>
      </c>
      <c r="B1117" t="s">
        <v>475</v>
      </c>
      <c r="C1117">
        <v>2400000</v>
      </c>
      <c r="D1117">
        <v>3180</v>
      </c>
    </row>
    <row r="1118" spans="1:4" x14ac:dyDescent="0.25">
      <c r="A1118" t="str">
        <f>T("   870323")</f>
        <v xml:space="preserve">   870323</v>
      </c>
      <c r="B1118" t="s">
        <v>476</v>
      </c>
      <c r="C1118">
        <v>13504173</v>
      </c>
      <c r="D1118">
        <v>2945</v>
      </c>
    </row>
    <row r="1119" spans="1:4" x14ac:dyDescent="0.25">
      <c r="A1119" t="str">
        <f>T("   870333")</f>
        <v xml:space="preserve">   870333</v>
      </c>
      <c r="B1119" t="s">
        <v>480</v>
      </c>
      <c r="C1119">
        <v>30700000</v>
      </c>
      <c r="D1119">
        <v>4205</v>
      </c>
    </row>
    <row r="1120" spans="1:4" x14ac:dyDescent="0.25">
      <c r="A1120" t="str">
        <f>T("   871640")</f>
        <v xml:space="preserve">   871640</v>
      </c>
      <c r="B1120" t="str">
        <f>T("   Remorques ne circulant pas sur rails (à l'excl. des remorques pour le transport de marchandises et remorques pour l'habitation ou le camping, du type caravane)")</f>
        <v xml:space="preserve">   Remorques ne circulant pas sur rails (à l'excl. des remorques pour le transport de marchandises et remorques pour l'habitation ou le camping, du type caravane)</v>
      </c>
      <c r="C1120">
        <v>2000000</v>
      </c>
      <c r="D1120">
        <v>6500</v>
      </c>
    </row>
    <row r="1121" spans="1:4" x14ac:dyDescent="0.25">
      <c r="A1121" t="str">
        <f>T("   930190")</f>
        <v xml:space="preserve">   930190</v>
      </c>
      <c r="B1121" t="s">
        <v>507</v>
      </c>
      <c r="C1121">
        <v>753250</v>
      </c>
      <c r="D1121">
        <v>2</v>
      </c>
    </row>
    <row r="1122" spans="1:4" x14ac:dyDescent="0.25">
      <c r="A1122" t="str">
        <f>T("   930200")</f>
        <v xml:space="preserve">   930200</v>
      </c>
      <c r="B1122" t="str">
        <f>T("   Revolvers et pistolets (autres que ceux du n° 9303 ou 9304 et pistolets-mitrailleurs de guerre)")</f>
        <v xml:space="preserve">   Revolvers et pistolets (autres que ceux du n° 9303 ou 9304 et pistolets-mitrailleurs de guerre)</v>
      </c>
      <c r="C1122">
        <v>812250</v>
      </c>
      <c r="D1122">
        <v>4</v>
      </c>
    </row>
    <row r="1123" spans="1:4" x14ac:dyDescent="0.25">
      <c r="A1123" t="str">
        <f>T("BG")</f>
        <v>BG</v>
      </c>
      <c r="B1123" t="str">
        <f>T("Bulgarie")</f>
        <v>Bulgarie</v>
      </c>
    </row>
    <row r="1124" spans="1:4" x14ac:dyDescent="0.25">
      <c r="A1124" t="str">
        <f>T("   ZZ_Total_Produit_SH6")</f>
        <v xml:space="preserve">   ZZ_Total_Produit_SH6</v>
      </c>
      <c r="B1124" t="str">
        <f>T("   ZZ_Total_Produit_SH6")</f>
        <v xml:space="preserve">   ZZ_Total_Produit_SH6</v>
      </c>
      <c r="C1124">
        <v>77185871</v>
      </c>
      <c r="D1124">
        <v>195077</v>
      </c>
    </row>
    <row r="1125" spans="1:4" x14ac:dyDescent="0.25">
      <c r="A1125" t="str">
        <f>T("   020727")</f>
        <v xml:space="preserve">   020727</v>
      </c>
      <c r="B1125" t="str">
        <f>T("   Morceaux et abats comestibles de dindes et dindons [des espèces domestiques], congelés")</f>
        <v xml:space="preserve">   Morceaux et abats comestibles de dindes et dindons [des espèces domestiques], congelés</v>
      </c>
      <c r="C1125">
        <v>15550188</v>
      </c>
      <c r="D1125">
        <v>25000</v>
      </c>
    </row>
    <row r="1126" spans="1:4" x14ac:dyDescent="0.25">
      <c r="A1126" t="str">
        <f>T("   151620")</f>
        <v xml:space="preserve">   151620</v>
      </c>
      <c r="B1126" t="str">
        <f>T("   Graisses et huiles végétales et leurs fractions, partiellement ou totalement hydrogénées, interestérifiées, réestérifiées ou élaïdinisées, même raffinées, mais non autrement préparées")</f>
        <v xml:space="preserve">   Graisses et huiles végétales et leurs fractions, partiellement ou totalement hydrogénées, interestérifiées, réestérifiées ou élaïdinisées, même raffinées, mais non autrement préparées</v>
      </c>
      <c r="C1126">
        <v>12883490</v>
      </c>
      <c r="D1126">
        <v>51534</v>
      </c>
    </row>
    <row r="1127" spans="1:4" x14ac:dyDescent="0.25">
      <c r="A1127" t="str">
        <f>T("   200979")</f>
        <v xml:space="preserve">   200979</v>
      </c>
      <c r="B1127" t="str">
        <f>T("   JUS DE POMME, NON-FERMENTÉS, SANS ADDITION D'ALCOOL, AVEC OU SANS ADDITION DE SUCRE OU D'AUTRES ÉDULCORANTS, D'UNE VALEUR BRIX &gt; 20 À 20°C")</f>
        <v xml:space="preserve">   JUS DE POMME, NON-FERMENTÉS, SANS ADDITION D'ALCOOL, AVEC OU SANS ADDITION DE SUCRE OU D'AUTRES ÉDULCORANTS, D'UNE VALEUR BRIX &gt; 20 À 20°C</v>
      </c>
      <c r="C1127">
        <v>3427364</v>
      </c>
      <c r="D1127">
        <v>11100</v>
      </c>
    </row>
    <row r="1128" spans="1:4" x14ac:dyDescent="0.25">
      <c r="A1128" t="str">
        <f>T("   200980")</f>
        <v xml:space="preserve">   200980</v>
      </c>
      <c r="B1128" t="str">
        <f>T("   JUS DE FRUITS OU DE LÉGUMES, NON-FERMENTÉS, SANS ADDITION D'ALCOOL, AVEC OU SANS ADDITION DE SUCRE OU D'AUTRES ÉDULCORANTS (À L'EXCL. DES MÉLANGES AINSI QUE DES JUS D'AGRUMES, D'ANANAS, DE TOMATE, DE RAISIN - Y.C. LES MOÛTS - ET DE POMME)")</f>
        <v xml:space="preserve">   JUS DE FRUITS OU DE LÉGUMES, NON-FERMENTÉS, SANS ADDITION D'ALCOOL, AVEC OU SANS ADDITION DE SUCRE OU D'AUTRES ÉDULCORANTS (À L'EXCL. DES MÉLANGES AINSI QUE DES JUS D'AGRUMES, D'ANANAS, DE TOMATE, DE RAISIN - Y.C. LES MOÛTS - ET DE POMME)</v>
      </c>
      <c r="C1128">
        <v>5827975</v>
      </c>
      <c r="D1128">
        <v>18831</v>
      </c>
    </row>
    <row r="1129" spans="1:4" x14ac:dyDescent="0.25">
      <c r="A1129" t="str">
        <f>T("   200990")</f>
        <v xml:space="preserve">   200990</v>
      </c>
      <c r="B1129" t="str">
        <f>T("   MÉLANGES DE JUS DE FRUITS - Y.C. LES MOÛTS DE RAISIN - ET DE JUS DE LÉGUMES, NON-FERMENTÉS, SANS ADDITION D'ALCOOL, AVEC OU SANS ADDITION DE SUCRE OU D'AUTRES ÉDULCORANTS")</f>
        <v xml:space="preserve">   MÉLANGES DE JUS DE FRUITS - Y.C. LES MOÛTS DE RAISIN - ET DE JUS DE LÉGUMES, NON-FERMENTÉS, SANS ADDITION D'ALCOOL, AVEC OU SANS ADDITION DE SUCRE OU D'AUTRES ÉDULCORANTS</v>
      </c>
      <c r="C1129">
        <v>302214</v>
      </c>
      <c r="D1129">
        <v>1380</v>
      </c>
    </row>
    <row r="1130" spans="1:4" x14ac:dyDescent="0.25">
      <c r="A1130" t="str">
        <f>T("   220290")</f>
        <v xml:space="preserve">   220290</v>
      </c>
      <c r="B1130" t="str">
        <f>T("   BOISSONS NON-ALCOOLIQUES (À L'EXCL. DES EAUX, DES JUS DE FRUITS OU DE LÉGUMES AINSI QUE DU LAIT)")</f>
        <v xml:space="preserve">   BOISSONS NON-ALCOOLIQUES (À L'EXCL. DES EAUX, DES JUS DE FRUITS OU DE LÉGUMES AINSI QUE DU LAIT)</v>
      </c>
      <c r="C1130">
        <v>4029018</v>
      </c>
      <c r="D1130">
        <v>24782</v>
      </c>
    </row>
    <row r="1131" spans="1:4" x14ac:dyDescent="0.25">
      <c r="A1131" t="str">
        <f>T("   220410")</f>
        <v xml:space="preserve">   220410</v>
      </c>
      <c r="B1131" t="str">
        <f>T("   Vins mousseux produits à partir de raisins frais")</f>
        <v xml:space="preserve">   Vins mousseux produits à partir de raisins frais</v>
      </c>
      <c r="C1131">
        <v>2421857</v>
      </c>
      <c r="D1131">
        <v>3672</v>
      </c>
    </row>
    <row r="1132" spans="1:4" x14ac:dyDescent="0.25">
      <c r="A1132" t="str">
        <f>T("   220421")</f>
        <v xml:space="preserve">   220421</v>
      </c>
      <c r="B1132" t="str">
        <f>T("   Vins de raisins frais, y.c. les vins enrichis en alcool (à l'excl. des vins mousseux); moûts de raisins dont la fermentation a été empêchée ou arrêtée par addition d'alcool, en récipients d'une contenance &lt;= 2 l")</f>
        <v xml:space="preserve">   Vins de raisins frais, y.c. les vins enrichis en alcool (à l'excl. des vins mousseux); moûts de raisins dont la fermentation a été empêchée ou arrêtée par addition d'alcool, en récipients d'une contenance &lt;= 2 l</v>
      </c>
      <c r="C1132">
        <v>5956701</v>
      </c>
      <c r="D1132">
        <v>10742</v>
      </c>
    </row>
    <row r="1133" spans="1:4" x14ac:dyDescent="0.25">
      <c r="A1133" t="str">
        <f>T("   220429")</f>
        <v xml:space="preserve">   220429</v>
      </c>
      <c r="B1133" t="str">
        <f>T("   VINS DE RAISINS FRAIS, Y.C. LES VINS ENRICHIS EN ALCOOL, ET MOÛTS DE RAISINS DONT LA FERMENTATION A ÉTÉ EMPÊCHÉE OU ARRÊTÉE PAR ADDITION D'ALCOOL, EN RÉCIPIENTS D'UNE CONTENANCE &gt; 2 L (À L'EXCL. DES VINS MOUSSEUX)")</f>
        <v xml:space="preserve">   VINS DE RAISINS FRAIS, Y.C. LES VINS ENRICHIS EN ALCOOL, ET MOÛTS DE RAISINS DONT LA FERMENTATION A ÉTÉ EMPÊCHÉE OU ARRÊTÉE PAR ADDITION D'ALCOOL, EN RÉCIPIENTS D'UNE CONTENANCE &gt; 2 L (À L'EXCL. DES VINS MOUSSEUX)</v>
      </c>
      <c r="C1133">
        <v>4395955</v>
      </c>
      <c r="D1133">
        <v>14512</v>
      </c>
    </row>
    <row r="1134" spans="1:4" x14ac:dyDescent="0.25">
      <c r="A1134" t="str">
        <f>T("   220510")</f>
        <v xml:space="preserve">   220510</v>
      </c>
      <c r="B1134" t="str">
        <f>T("   Vermouths et autres vins de raisins frais préparés à l'aide de plantes ou de substances aromatiques, en récipients d'une contenance &lt;= 2 l")</f>
        <v xml:space="preserve">   Vermouths et autres vins de raisins frais préparés à l'aide de plantes ou de substances aromatiques, en récipients d'une contenance &lt;= 2 l</v>
      </c>
      <c r="C1134">
        <v>952224</v>
      </c>
      <c r="D1134">
        <v>2015</v>
      </c>
    </row>
    <row r="1135" spans="1:4" x14ac:dyDescent="0.25">
      <c r="A1135" t="str">
        <f>T("   220820")</f>
        <v xml:space="preserve">   220820</v>
      </c>
      <c r="B1135" t="str">
        <f>T("   Eaux-de-vie de vin ou de marc de raisins")</f>
        <v xml:space="preserve">   Eaux-de-vie de vin ou de marc de raisins</v>
      </c>
      <c r="C1135">
        <v>177292</v>
      </c>
      <c r="D1135">
        <v>285</v>
      </c>
    </row>
    <row r="1136" spans="1:4" x14ac:dyDescent="0.25">
      <c r="A1136" t="str">
        <f>T("   220840")</f>
        <v xml:space="preserve">   220840</v>
      </c>
      <c r="B1136" t="str">
        <f>T("   RHUM ET AUTRES EAUX-DE-VIE PROVENANT DE LA DISTILLATION, APRÈS FERMENTATION, DE PRODUITS DE CANNES À SUCRE")</f>
        <v xml:space="preserve">   RHUM ET AUTRES EAUX-DE-VIE PROVENANT DE LA DISTILLATION, APRÈS FERMENTATION, DE PRODUITS DE CANNES À SUCRE</v>
      </c>
      <c r="C1136">
        <v>72070</v>
      </c>
      <c r="D1136">
        <v>182</v>
      </c>
    </row>
    <row r="1137" spans="1:4" x14ac:dyDescent="0.25">
      <c r="A1137" t="str">
        <f>T("   220850")</f>
        <v xml:space="preserve">   220850</v>
      </c>
      <c r="B1137" t="str">
        <f>T("   Gin et genièvre")</f>
        <v xml:space="preserve">   Gin et genièvre</v>
      </c>
      <c r="C1137">
        <v>526388</v>
      </c>
      <c r="D1137">
        <v>1037</v>
      </c>
    </row>
    <row r="1138" spans="1:4" x14ac:dyDescent="0.25">
      <c r="A1138" t="str">
        <f>T("   220860")</f>
        <v xml:space="preserve">   220860</v>
      </c>
      <c r="B1138" t="str">
        <f>T("   VODKA")</f>
        <v xml:space="preserve">   VODKA</v>
      </c>
      <c r="C1138">
        <v>7060945</v>
      </c>
      <c r="D1138">
        <v>14067</v>
      </c>
    </row>
    <row r="1139" spans="1:4" x14ac:dyDescent="0.25">
      <c r="A1139" t="str">
        <f>T("   220870")</f>
        <v xml:space="preserve">   220870</v>
      </c>
      <c r="B1139" t="str">
        <f>T("   LIQUEURS")</f>
        <v xml:space="preserve">   LIQUEURS</v>
      </c>
      <c r="C1139">
        <v>334434</v>
      </c>
      <c r="D1139">
        <v>570</v>
      </c>
    </row>
    <row r="1140" spans="1:4" x14ac:dyDescent="0.25">
      <c r="A1140" t="str">
        <f>T("   330300")</f>
        <v xml:space="preserve">   330300</v>
      </c>
      <c r="B1140" t="str">
        <f>T("   Parfums et eaux de toilette (à l'excl. des préparations pour l'après-rasage [lotions after-shave] et des désodorisants corporels)")</f>
        <v xml:space="preserve">   Parfums et eaux de toilette (à l'excl. des préparations pour l'après-rasage [lotions after-shave] et des désodorisants corporels)</v>
      </c>
      <c r="C1140">
        <v>339131</v>
      </c>
      <c r="D1140">
        <v>131</v>
      </c>
    </row>
    <row r="1141" spans="1:4" x14ac:dyDescent="0.25">
      <c r="A1141" t="str">
        <f>T("   392329")</f>
        <v xml:space="preserve">   392329</v>
      </c>
      <c r="B1141" t="str">
        <f>T("   Sacs, sachets, pochettes et cornets, en matières plastiques (autres que les polymères de l'éthylène)")</f>
        <v xml:space="preserve">   Sacs, sachets, pochettes et cornets, en matières plastiques (autres que les polymères de l'éthylène)</v>
      </c>
      <c r="C1141">
        <v>4375</v>
      </c>
      <c r="D1141">
        <v>4</v>
      </c>
    </row>
    <row r="1142" spans="1:4" x14ac:dyDescent="0.25">
      <c r="A1142" t="str">
        <f>T("   420299")</f>
        <v xml:space="preserve">   420299</v>
      </c>
      <c r="B1142" t="s">
        <v>164</v>
      </c>
      <c r="C1142">
        <v>50000</v>
      </c>
      <c r="D1142">
        <v>10</v>
      </c>
    </row>
    <row r="1143" spans="1:4" x14ac:dyDescent="0.25">
      <c r="A1143" t="str">
        <f>T("   610910")</f>
        <v xml:space="preserve">   610910</v>
      </c>
      <c r="B1143" t="str">
        <f>T("   T-shirts et maillots de corps, en bonneterie, de coton,")</f>
        <v xml:space="preserve">   T-shirts et maillots de corps, en bonneterie, de coton,</v>
      </c>
      <c r="C1143">
        <v>1351</v>
      </c>
      <c r="D1143">
        <v>75</v>
      </c>
    </row>
    <row r="1144" spans="1:4" x14ac:dyDescent="0.25">
      <c r="A1144" t="str">
        <f>T("   610990")</f>
        <v xml:space="preserve">   610990</v>
      </c>
      <c r="B1144" t="str">
        <f>T("   T-shirts et maillots de corps, en bonneterie, de matières textiles (sauf de coton)")</f>
        <v xml:space="preserve">   T-shirts et maillots de corps, en bonneterie, de matières textiles (sauf de coton)</v>
      </c>
      <c r="C1144">
        <v>27</v>
      </c>
      <c r="D1144">
        <v>3</v>
      </c>
    </row>
    <row r="1145" spans="1:4" x14ac:dyDescent="0.25">
      <c r="A1145" t="str">
        <f>T("   630900")</f>
        <v xml:space="preserve">   630900</v>
      </c>
      <c r="B1145" t="s">
        <v>280</v>
      </c>
      <c r="C1145">
        <v>12243000</v>
      </c>
      <c r="D1145">
        <v>14990</v>
      </c>
    </row>
    <row r="1146" spans="1:4" x14ac:dyDescent="0.25">
      <c r="A1146" t="str">
        <f>T("   650699")</f>
        <v xml:space="preserve">   650699</v>
      </c>
      <c r="B1146" t="str">
        <f>T("   Chapeaux et autres coiffures, même garnis, n.d.a.")</f>
        <v xml:space="preserve">   Chapeaux et autres coiffures, même garnis, n.d.a.</v>
      </c>
      <c r="C1146">
        <v>14</v>
      </c>
      <c r="D1146">
        <v>2</v>
      </c>
    </row>
    <row r="1147" spans="1:4" x14ac:dyDescent="0.25">
      <c r="A1147" t="str">
        <f>T("   847190")</f>
        <v xml:space="preserve">   847190</v>
      </c>
      <c r="B1147"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1147">
        <v>600000</v>
      </c>
      <c r="D1147">
        <v>134</v>
      </c>
    </row>
    <row r="1148" spans="1:4" x14ac:dyDescent="0.25">
      <c r="A1148" t="str">
        <f>T("   940560")</f>
        <v xml:space="preserve">   940560</v>
      </c>
      <c r="B1148" t="str">
        <f>T("   Lampes-réclames, enseignes lumineuses, plaques indicatrices lumineuses et articles simil., possédant une source d'éclairage fixée à demeure")</f>
        <v xml:space="preserve">   Lampes-réclames, enseignes lumineuses, plaques indicatrices lumineuses et articles simil., possédant une source d'éclairage fixée à demeure</v>
      </c>
      <c r="C1148">
        <v>29858</v>
      </c>
      <c r="D1148">
        <v>19</v>
      </c>
    </row>
    <row r="1149" spans="1:4" x14ac:dyDescent="0.25">
      <c r="A1149" t="str">
        <f>T("BH")</f>
        <v>BH</v>
      </c>
      <c r="B1149" t="str">
        <f>T("Bahreïn")</f>
        <v>Bahreïn</v>
      </c>
    </row>
    <row r="1150" spans="1:4" x14ac:dyDescent="0.25">
      <c r="A1150" t="str">
        <f>T("   ZZ_Total_Produit_SH6")</f>
        <v xml:space="preserve">   ZZ_Total_Produit_SH6</v>
      </c>
      <c r="B1150" t="str">
        <f>T("   ZZ_Total_Produit_SH6")</f>
        <v xml:space="preserve">   ZZ_Total_Produit_SH6</v>
      </c>
      <c r="C1150">
        <v>2664280</v>
      </c>
      <c r="D1150">
        <v>8591</v>
      </c>
    </row>
    <row r="1151" spans="1:4" x14ac:dyDescent="0.25">
      <c r="A1151" t="str">
        <f>T("   392690")</f>
        <v xml:space="preserve">   392690</v>
      </c>
      <c r="B1151" t="str">
        <f>T("   Ouvrages en matières plastiques et ouvrages en autres matières du n° 3901 à 3914, n.d.a.")</f>
        <v xml:space="preserve">   Ouvrages en matières plastiques et ouvrages en autres matières du n° 3901 à 3914, n.d.a.</v>
      </c>
      <c r="C1151">
        <v>799284</v>
      </c>
      <c r="D1151">
        <v>3591</v>
      </c>
    </row>
    <row r="1152" spans="1:4" x14ac:dyDescent="0.25">
      <c r="A1152" t="str">
        <f>T("   420299")</f>
        <v xml:space="preserve">   420299</v>
      </c>
      <c r="B1152" t="s">
        <v>164</v>
      </c>
      <c r="C1152">
        <v>799284</v>
      </c>
      <c r="D1152">
        <v>2000</v>
      </c>
    </row>
    <row r="1153" spans="1:4" x14ac:dyDescent="0.25">
      <c r="A1153" t="str">
        <f>T("   760429")</f>
        <v xml:space="preserve">   760429</v>
      </c>
      <c r="B1153" t="str">
        <f>T("   Barres et profilés pleins en alliages d'aluminium, n.d.a.")</f>
        <v xml:space="preserve">   Barres et profilés pleins en alliages d'aluminium, n.d.a.</v>
      </c>
      <c r="C1153">
        <v>1065712</v>
      </c>
      <c r="D1153">
        <v>3000</v>
      </c>
    </row>
    <row r="1154" spans="1:4" x14ac:dyDescent="0.25">
      <c r="A1154" t="str">
        <f>T("BR")</f>
        <v>BR</v>
      </c>
      <c r="B1154" t="str">
        <f>T("Brésil")</f>
        <v>Brésil</v>
      </c>
    </row>
    <row r="1155" spans="1:4" x14ac:dyDescent="0.25">
      <c r="A1155" t="str">
        <f>T("   ZZ_Total_Produit_SH6")</f>
        <v xml:space="preserve">   ZZ_Total_Produit_SH6</v>
      </c>
      <c r="B1155" t="str">
        <f>T("   ZZ_Total_Produit_SH6")</f>
        <v xml:space="preserve">   ZZ_Total_Produit_SH6</v>
      </c>
      <c r="C1155">
        <v>42022932951.537003</v>
      </c>
      <c r="D1155">
        <v>122282843.33</v>
      </c>
    </row>
    <row r="1156" spans="1:4" x14ac:dyDescent="0.25">
      <c r="A1156" t="str">
        <f>T("   020711")</f>
        <v xml:space="preserve">   020711</v>
      </c>
      <c r="B1156" t="str">
        <f>T("   COQS ET POULES [DES ESPÈCES DOMESTIQUES], NON-DÉCOUPÉS EN MORCEAUX, FRAIS OU RÉFRIGÉRÉS")</f>
        <v xml:space="preserve">   COQS ET POULES [DES ESPÈCES DOMESTIQUES], NON-DÉCOUPÉS EN MORCEAUX, FRAIS OU RÉFRIGÉRÉS</v>
      </c>
      <c r="C1156">
        <v>16825374</v>
      </c>
      <c r="D1156">
        <v>27000</v>
      </c>
    </row>
    <row r="1157" spans="1:4" x14ac:dyDescent="0.25">
      <c r="A1157" t="str">
        <f>T("   020712")</f>
        <v xml:space="preserve">   020712</v>
      </c>
      <c r="B1157" t="str">
        <f>T("   COQS ET POULES [DES ESPÈCES DOMESTIQUES], NON-DÉCOUPÉS EN MORCEAUX, CONGELÉS")</f>
        <v xml:space="preserve">   COQS ET POULES [DES ESPÈCES DOMESTIQUES], NON-DÉCOUPÉS EN MORCEAUX, CONGELÉS</v>
      </c>
      <c r="C1157">
        <v>508206846</v>
      </c>
      <c r="D1157">
        <v>819212</v>
      </c>
    </row>
    <row r="1158" spans="1:4" x14ac:dyDescent="0.25">
      <c r="A1158" t="str">
        <f>T("   020713")</f>
        <v xml:space="preserve">   020713</v>
      </c>
      <c r="B1158" t="str">
        <f>T("   Morceaux et abats comestibles de coqs et de poules [des espèces domestiques], frais ou réfrigérés")</f>
        <v xml:space="preserve">   Morceaux et abats comestibles de coqs et de poules [des espèces domestiques], frais ou réfrigérés</v>
      </c>
      <c r="C1158">
        <v>32373595</v>
      </c>
      <c r="D1158">
        <v>52000</v>
      </c>
    </row>
    <row r="1159" spans="1:4" x14ac:dyDescent="0.25">
      <c r="A1159" t="str">
        <f>T("   020714")</f>
        <v xml:space="preserve">   020714</v>
      </c>
      <c r="B1159" t="str">
        <f>T("   Morceaux et abats comestibles de coqs et de poules [des espèces domestiques], congelés")</f>
        <v xml:space="preserve">   Morceaux et abats comestibles de coqs et de poules [des espèces domestiques], congelés</v>
      </c>
      <c r="C1159">
        <v>5975496289</v>
      </c>
      <c r="D1159">
        <v>9642326</v>
      </c>
    </row>
    <row r="1160" spans="1:4" x14ac:dyDescent="0.25">
      <c r="A1160" t="str">
        <f>T("   020725")</f>
        <v xml:space="preserve">   020725</v>
      </c>
      <c r="B1160" t="str">
        <f>T("   DINDES ET DINDONS [DES ESPÈCES DOMESTIQUES], NON-DÉCOUPÉS EN MORCEAUX, CONGELÉS")</f>
        <v xml:space="preserve">   DINDES ET DINDONS [DES ESPÈCES DOMESTIQUES], NON-DÉCOUPÉS EN MORCEAUX, CONGELÉS</v>
      </c>
      <c r="C1160">
        <v>3732412</v>
      </c>
      <c r="D1160">
        <v>6000</v>
      </c>
    </row>
    <row r="1161" spans="1:4" x14ac:dyDescent="0.25">
      <c r="A1161" t="str">
        <f>T("   020727")</f>
        <v xml:space="preserve">   020727</v>
      </c>
      <c r="B1161" t="str">
        <f>T("   Morceaux et abats comestibles de dindes et dindons [des espèces domestiques], congelés")</f>
        <v xml:space="preserve">   Morceaux et abats comestibles de dindes et dindons [des espèces domestiques], congelés</v>
      </c>
      <c r="C1161">
        <v>9095461607</v>
      </c>
      <c r="D1161">
        <v>14623088</v>
      </c>
    </row>
    <row r="1162" spans="1:4" x14ac:dyDescent="0.25">
      <c r="A1162" t="str">
        <f>T("   030379")</f>
        <v xml:space="preserve">   030379</v>
      </c>
      <c r="B1162" t="s">
        <v>15</v>
      </c>
      <c r="C1162">
        <v>23176522</v>
      </c>
      <c r="D1162">
        <v>106000</v>
      </c>
    </row>
    <row r="1163" spans="1:4" x14ac:dyDescent="0.25">
      <c r="A1163" t="str">
        <f>T("   040291")</f>
        <v xml:space="preserve">   040291</v>
      </c>
      <c r="B1163" t="str">
        <f>T("   Lait et crème de lait, concentrés, sans addition de sucre ou d'autres édulcorants (à l'excl. des laits et crèmes de lait en poudre, en granulés ou sous d'autres formes solides)")</f>
        <v xml:space="preserve">   Lait et crème de lait, concentrés, sans addition de sucre ou d'autres édulcorants (à l'excl. des laits et crèmes de lait en poudre, en granulés ou sous d'autres formes solides)</v>
      </c>
      <c r="C1163">
        <v>8439682</v>
      </c>
      <c r="D1163">
        <v>18000</v>
      </c>
    </row>
    <row r="1164" spans="1:4" x14ac:dyDescent="0.25">
      <c r="A1164" t="str">
        <f>T("   050400")</f>
        <v xml:space="preserve">   050400</v>
      </c>
      <c r="B1164" t="str">
        <f>T("   Boyaux, vessies et estomacs d'animaux (autres que ceux de poissons), entiers ou en morceaux, à l'état frais, réfrigéré, congelé, salé ou en saumure, séché ou fumé")</f>
        <v xml:space="preserve">   Boyaux, vessies et estomacs d'animaux (autres que ceux de poissons), entiers ou en morceaux, à l'état frais, réfrigéré, congelé, salé ou en saumure, séché ou fumé</v>
      </c>
      <c r="C1164">
        <v>1521672096</v>
      </c>
      <c r="D1164">
        <v>1328396</v>
      </c>
    </row>
    <row r="1165" spans="1:4" x14ac:dyDescent="0.25">
      <c r="A1165" t="str">
        <f>T("   100630")</f>
        <v xml:space="preserve">   100630</v>
      </c>
      <c r="B1165" t="str">
        <f>T("   Riz semi-blanchi ou blanchi, même poli ou glacé")</f>
        <v xml:space="preserve">   Riz semi-blanchi ou blanchi, même poli ou glacé</v>
      </c>
      <c r="C1165">
        <v>16179458939.686001</v>
      </c>
      <c r="D1165">
        <v>57211500</v>
      </c>
    </row>
    <row r="1166" spans="1:4" x14ac:dyDescent="0.25">
      <c r="A1166" t="str">
        <f>T("   151710")</f>
        <v xml:space="preserve">   151710</v>
      </c>
      <c r="B1166" t="str">
        <f>T("   Margarine (à l'excl. de la margarine liquide)")</f>
        <v xml:space="preserve">   Margarine (à l'excl. de la margarine liquide)</v>
      </c>
      <c r="C1166">
        <v>5807214</v>
      </c>
      <c r="D1166">
        <v>8904</v>
      </c>
    </row>
    <row r="1167" spans="1:4" x14ac:dyDescent="0.25">
      <c r="A1167" t="str">
        <f>T("   160100")</f>
        <v xml:space="preserve">   160100</v>
      </c>
      <c r="B1167" t="str">
        <f>T("   Saucisses, saucissons et produits simil., de viande, d'abats ou de sang; préparations alimentaires à base de ces produits")</f>
        <v xml:space="preserve">   Saucisses, saucissons et produits simil., de viande, d'abats ou de sang; préparations alimentaires à base de ces produits</v>
      </c>
      <c r="C1167">
        <v>889030490</v>
      </c>
      <c r="D1167">
        <v>1272968.8</v>
      </c>
    </row>
    <row r="1168" spans="1:4" x14ac:dyDescent="0.25">
      <c r="A1168" t="str">
        <f>T("   160232")</f>
        <v xml:space="preserve">   160232</v>
      </c>
      <c r="B1168" t="s">
        <v>38</v>
      </c>
      <c r="C1168">
        <v>235363043</v>
      </c>
      <c r="D1168">
        <v>313709</v>
      </c>
    </row>
    <row r="1169" spans="1:4" x14ac:dyDescent="0.25">
      <c r="A1169" t="str">
        <f>T("   160239")</f>
        <v xml:space="preserve">   160239</v>
      </c>
      <c r="B1169" t="s">
        <v>39</v>
      </c>
      <c r="C1169">
        <v>19277046</v>
      </c>
      <c r="D1169">
        <v>30992</v>
      </c>
    </row>
    <row r="1170" spans="1:4" x14ac:dyDescent="0.25">
      <c r="A1170" t="str">
        <f>T("   170111")</f>
        <v xml:space="preserve">   170111</v>
      </c>
      <c r="B1170" t="str">
        <f>T("   Sucres de canne, bruts, sans addition d'aromatisants ou de colorants")</f>
        <v xml:space="preserve">   Sucres de canne, bruts, sans addition d'aromatisants ou de colorants</v>
      </c>
      <c r="C1170">
        <v>77761116</v>
      </c>
      <c r="D1170">
        <v>648000</v>
      </c>
    </row>
    <row r="1171" spans="1:4" x14ac:dyDescent="0.25">
      <c r="A1171" t="str">
        <f>T("   170191")</f>
        <v xml:space="preserve">   170191</v>
      </c>
      <c r="B1171" t="str">
        <f>T("   Sucres de canne ou de betterave, à l'état solide, additionnés d'aromatisants ou de colorants")</f>
        <v xml:space="preserve">   Sucres de canne ou de betterave, à l'état solide, additionnés d'aromatisants ou de colorants</v>
      </c>
      <c r="C1171">
        <v>995735295.61899996</v>
      </c>
      <c r="D1171">
        <v>6844065</v>
      </c>
    </row>
    <row r="1172" spans="1:4" x14ac:dyDescent="0.25">
      <c r="A1172" t="str">
        <f>T("   170199")</f>
        <v xml:space="preserve">   170199</v>
      </c>
      <c r="B1172" t="str">
        <f>T("   Sucres de canne ou de betterave et saccharose chimiquement pur, à l'état solide (à l'excl. des sucres bruts et des sucres de canne ou de betterave additionnés d'aromatisants ou de colorants)")</f>
        <v xml:space="preserve">   Sucres de canne ou de betterave et saccharose chimiquement pur, à l'état solide (à l'excl. des sucres bruts et des sucres de canne ou de betterave additionnés d'aromatisants ou de colorants)</v>
      </c>
      <c r="C1172">
        <v>5184303629.2320004</v>
      </c>
      <c r="D1172">
        <v>25228776</v>
      </c>
    </row>
    <row r="1173" spans="1:4" x14ac:dyDescent="0.25">
      <c r="A1173" t="str">
        <f>T("   190110")</f>
        <v xml:space="preserve">   190110</v>
      </c>
      <c r="B1173" t="s">
        <v>46</v>
      </c>
      <c r="C1173">
        <v>52327024</v>
      </c>
      <c r="D1173">
        <v>25560.400000000001</v>
      </c>
    </row>
    <row r="1174" spans="1:4" x14ac:dyDescent="0.25">
      <c r="A1174" t="str">
        <f>T("   200290")</f>
        <v xml:space="preserve">   200290</v>
      </c>
      <c r="B1174" t="str">
        <f>T("   Tomates, préparées ou conservées autrement qu'au vinaigre ou à l'acide acétique (à l'excl. des tomates entières ou en morceaux)")</f>
        <v xml:space="preserve">   Tomates, préparées ou conservées autrement qu'au vinaigre ou à l'acide acétique (à l'excl. des tomates entières ou en morceaux)</v>
      </c>
      <c r="C1174">
        <v>13468014</v>
      </c>
      <c r="D1174">
        <v>59280</v>
      </c>
    </row>
    <row r="1175" spans="1:4" x14ac:dyDescent="0.25">
      <c r="A1175" t="str">
        <f>T("   280440")</f>
        <v xml:space="preserve">   280440</v>
      </c>
      <c r="B1175" t="str">
        <f>T("   Oxygène")</f>
        <v xml:space="preserve">   Oxygène</v>
      </c>
      <c r="C1175">
        <v>413000</v>
      </c>
      <c r="D1175">
        <v>758</v>
      </c>
    </row>
    <row r="1176" spans="1:4" x14ac:dyDescent="0.25">
      <c r="A1176" t="str">
        <f>T("   291411")</f>
        <v xml:space="preserve">   291411</v>
      </c>
      <c r="B1176" t="str">
        <f>T("   Acétone")</f>
        <v xml:space="preserve">   Acétone</v>
      </c>
      <c r="C1176">
        <v>192000</v>
      </c>
      <c r="D1176">
        <v>170</v>
      </c>
    </row>
    <row r="1177" spans="1:4" x14ac:dyDescent="0.25">
      <c r="A1177" t="str">
        <f>T("   292242")</f>
        <v xml:space="preserve">   292242</v>
      </c>
      <c r="B1177" t="str">
        <f>T("   Acide glutamique et ses sels")</f>
        <v xml:space="preserve">   Acide glutamique et ses sels</v>
      </c>
      <c r="C1177">
        <v>12000480</v>
      </c>
      <c r="D1177">
        <v>40000</v>
      </c>
    </row>
    <row r="1178" spans="1:4" x14ac:dyDescent="0.25">
      <c r="A1178" t="str">
        <f>T("   300490")</f>
        <v xml:space="preserve">   300490</v>
      </c>
      <c r="B1178" t="s">
        <v>78</v>
      </c>
      <c r="C1178">
        <v>65074512</v>
      </c>
      <c r="D1178">
        <v>11651</v>
      </c>
    </row>
    <row r="1179" spans="1:4" x14ac:dyDescent="0.25">
      <c r="A1179" t="str">
        <f>T("   320910")</f>
        <v xml:space="preserve">   320910</v>
      </c>
      <c r="B1179" t="str">
        <f>T("   Peintures et vernis à base de polymères acryliques ou vinyliques, dispersés ou dissous dans un milieu aqueux")</f>
        <v xml:space="preserve">   Peintures et vernis à base de polymères acryliques ou vinyliques, dispersés ou dissous dans un milieu aqueux</v>
      </c>
      <c r="C1179">
        <v>7527545</v>
      </c>
      <c r="D1179">
        <v>16873</v>
      </c>
    </row>
    <row r="1180" spans="1:4" x14ac:dyDescent="0.25">
      <c r="A1180" t="str">
        <f>T("   321410")</f>
        <v xml:space="preserve">   321410</v>
      </c>
      <c r="B1180" t="str">
        <f>T("   Mastic de vitrier, ciments de résine et autres mastics; enduits utilisés en peinture")</f>
        <v xml:space="preserve">   Mastic de vitrier, ciments de résine et autres mastics; enduits utilisés en peinture</v>
      </c>
      <c r="C1180">
        <v>10981639</v>
      </c>
      <c r="D1180">
        <v>36000</v>
      </c>
    </row>
    <row r="1181" spans="1:4" x14ac:dyDescent="0.25">
      <c r="A1181" t="str">
        <f>T("   321490")</f>
        <v xml:space="preserve">   321490</v>
      </c>
      <c r="B1181" t="str">
        <f>T("   Enduits non réfractaires des types utilisés en maçonnerie")</f>
        <v xml:space="preserve">   Enduits non réfractaires des types utilisés en maçonnerie</v>
      </c>
      <c r="C1181">
        <v>3298096</v>
      </c>
      <c r="D1181">
        <v>16873</v>
      </c>
    </row>
    <row r="1182" spans="1:4" x14ac:dyDescent="0.25">
      <c r="A1182" t="str">
        <f>T("   340119")</f>
        <v xml:space="preserve">   340119</v>
      </c>
      <c r="B1182" t="s">
        <v>102</v>
      </c>
      <c r="C1182">
        <v>12451983</v>
      </c>
      <c r="D1182">
        <v>50000</v>
      </c>
    </row>
    <row r="1183" spans="1:4" x14ac:dyDescent="0.25">
      <c r="A1183" t="str">
        <f>T("   380810")</f>
        <v xml:space="preserve">   380810</v>
      </c>
      <c r="B1183" t="str">
        <f>T("   Insecticides présentés dans des formes ou emballages de vente au détail ou à l'état de préparations ou sous forme d'articles")</f>
        <v xml:space="preserve">   Insecticides présentés dans des formes ou emballages de vente au détail ou à l'état de préparations ou sous forme d'articles</v>
      </c>
      <c r="C1183">
        <v>2500000</v>
      </c>
      <c r="D1183">
        <v>23580</v>
      </c>
    </row>
    <row r="1184" spans="1:4" x14ac:dyDescent="0.25">
      <c r="A1184" t="str">
        <f>T("   390190")</f>
        <v xml:space="preserve">   390190</v>
      </c>
      <c r="B1184" t="str">
        <f>T("   Polymères de l'éthylène, sous formes primaires (à l'excl. du polyéthylène ainsi que des copolymères d'éthylène et d'acétate de vinyle)")</f>
        <v xml:space="preserve">   Polymères de l'éthylène, sous formes primaires (à l'excl. du polyéthylène ainsi que des copolymères d'éthylène et d'acétate de vinyle)</v>
      </c>
      <c r="C1184">
        <v>37531010</v>
      </c>
      <c r="D1184">
        <v>49797</v>
      </c>
    </row>
    <row r="1185" spans="1:4" x14ac:dyDescent="0.25">
      <c r="A1185" t="str">
        <f>T("   390210")</f>
        <v xml:space="preserve">   390210</v>
      </c>
      <c r="B1185" t="str">
        <f>T("   Polypropylène, sous formes primaires")</f>
        <v xml:space="preserve">   Polypropylène, sous formes primaires</v>
      </c>
      <c r="C1185">
        <v>25544722</v>
      </c>
      <c r="D1185">
        <v>82500</v>
      </c>
    </row>
    <row r="1186" spans="1:4" x14ac:dyDescent="0.25">
      <c r="A1186" t="str">
        <f>T("   391723")</f>
        <v xml:space="preserve">   391723</v>
      </c>
      <c r="B1186" t="str">
        <f>T("   TUBES ET TUYAUX RIGIDES, EN POLYMÈRES DU CHLORURE DE VINYLE")</f>
        <v xml:space="preserve">   TUBES ET TUYAUX RIGIDES, EN POLYMÈRES DU CHLORURE DE VINYLE</v>
      </c>
      <c r="C1186">
        <v>2000000</v>
      </c>
      <c r="D1186">
        <v>3220</v>
      </c>
    </row>
    <row r="1187" spans="1:4" x14ac:dyDescent="0.25">
      <c r="A1187" t="str">
        <f>T("   392410")</f>
        <v xml:space="preserve">   392410</v>
      </c>
      <c r="B1187" t="str">
        <f>T("   Vaisselle et autres articles pour le service de la table ou de la cuisine, en matières plastiques")</f>
        <v xml:space="preserve">   Vaisselle et autres articles pour le service de la table ou de la cuisine, en matières plastiques</v>
      </c>
      <c r="C1187">
        <v>409063</v>
      </c>
      <c r="D1187">
        <v>61.19</v>
      </c>
    </row>
    <row r="1188" spans="1:4" x14ac:dyDescent="0.25">
      <c r="A1188" t="str">
        <f>T("   401110")</f>
        <v xml:space="preserve">   401110</v>
      </c>
      <c r="B1188" t="str">
        <f>T("   Pneumatiques neufs, en caoutchouc, des types utilisés pour les voitures de tourisme, y.c. les voitures du type 'break' et les voitures de course")</f>
        <v xml:space="preserve">   Pneumatiques neufs, en caoutchouc, des types utilisés pour les voitures de tourisme, y.c. les voitures du type 'break' et les voitures de course</v>
      </c>
      <c r="C1188">
        <v>13447836</v>
      </c>
      <c r="D1188">
        <v>4231</v>
      </c>
    </row>
    <row r="1189" spans="1:4" x14ac:dyDescent="0.25">
      <c r="A1189" t="str">
        <f>T("   401120")</f>
        <v xml:space="preserve">   401120</v>
      </c>
      <c r="B1189" t="str">
        <f>T("   Pneumatiques neufs, en caoutchouc, des types utilisés pour les autobus ou les camions (à l'excl. des pneumatiques à crampons, à chevrons ou simil.)")</f>
        <v xml:space="preserve">   Pneumatiques neufs, en caoutchouc, des types utilisés pour les autobus ou les camions (à l'excl. des pneumatiques à crampons, à chevrons ou simil.)</v>
      </c>
      <c r="C1189">
        <v>35802862</v>
      </c>
      <c r="D1189">
        <v>40000</v>
      </c>
    </row>
    <row r="1190" spans="1:4" x14ac:dyDescent="0.25">
      <c r="A1190" t="str">
        <f>T("   401410")</f>
        <v xml:space="preserve">   401410</v>
      </c>
      <c r="B1190" t="str">
        <f>T("   Préservatifs en caoutchouc vulcanisé non durci")</f>
        <v xml:space="preserve">   Préservatifs en caoutchouc vulcanisé non durci</v>
      </c>
      <c r="C1190">
        <v>496127</v>
      </c>
      <c r="D1190">
        <v>8</v>
      </c>
    </row>
    <row r="1191" spans="1:4" x14ac:dyDescent="0.25">
      <c r="A1191" t="str">
        <f>T("   441129")</f>
        <v xml:space="preserve">   441129</v>
      </c>
      <c r="B1191" t="s">
        <v>173</v>
      </c>
      <c r="C1191">
        <v>3656961</v>
      </c>
      <c r="D1191">
        <v>23376</v>
      </c>
    </row>
    <row r="1192" spans="1:4" x14ac:dyDescent="0.25">
      <c r="A1192" t="str">
        <f>T("   441199")</f>
        <v xml:space="preserve">   441199</v>
      </c>
      <c r="B1192" t="s">
        <v>174</v>
      </c>
      <c r="C1192">
        <v>43880661</v>
      </c>
      <c r="D1192">
        <v>280307</v>
      </c>
    </row>
    <row r="1193" spans="1:4" x14ac:dyDescent="0.25">
      <c r="A1193" t="str">
        <f>T("   441213")</f>
        <v xml:space="preserve">   441213</v>
      </c>
      <c r="B1193" t="s">
        <v>176</v>
      </c>
      <c r="C1193">
        <v>16000000</v>
      </c>
      <c r="D1193">
        <v>200000</v>
      </c>
    </row>
    <row r="1194" spans="1:4" x14ac:dyDescent="0.25">
      <c r="A1194" t="str">
        <f>T("   441820")</f>
        <v xml:space="preserve">   441820</v>
      </c>
      <c r="B1194" t="str">
        <f>T("   Portes et leurs cadres, chambranles et seuils, en bois")</f>
        <v xml:space="preserve">   Portes et leurs cadres, chambranles et seuils, en bois</v>
      </c>
      <c r="C1194">
        <v>9932128</v>
      </c>
      <c r="D1194">
        <v>37350</v>
      </c>
    </row>
    <row r="1195" spans="1:4" x14ac:dyDescent="0.25">
      <c r="A1195" t="str">
        <f>T("   490199")</f>
        <v xml:space="preserve">   490199</v>
      </c>
      <c r="B1195"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1195">
        <v>300000</v>
      </c>
      <c r="D1195">
        <v>66</v>
      </c>
    </row>
    <row r="1196" spans="1:4" x14ac:dyDescent="0.25">
      <c r="A1196" t="str">
        <f>T("   491110")</f>
        <v xml:space="preserve">   491110</v>
      </c>
      <c r="B1196" t="str">
        <f>T("   Imprimés publicitaires, catalogues commerciaux et simil.")</f>
        <v xml:space="preserve">   Imprimés publicitaires, catalogues commerciaux et simil.</v>
      </c>
      <c r="C1196">
        <v>25000</v>
      </c>
      <c r="D1196">
        <v>55</v>
      </c>
    </row>
    <row r="1197" spans="1:4" x14ac:dyDescent="0.25">
      <c r="A1197" t="str">
        <f>T("   491199")</f>
        <v xml:space="preserve">   491199</v>
      </c>
      <c r="B1197" t="str">
        <f>T("   Imprimés, n.d.a.")</f>
        <v xml:space="preserve">   Imprimés, n.d.a.</v>
      </c>
      <c r="C1197">
        <v>16423</v>
      </c>
      <c r="D1197">
        <v>3</v>
      </c>
    </row>
    <row r="1198" spans="1:4" x14ac:dyDescent="0.25">
      <c r="A1198" t="str">
        <f>T("   530929")</f>
        <v xml:space="preserve">   530929</v>
      </c>
      <c r="B1198" t="str">
        <f>T("   Tissus de lin, contenant en prédominance, mais &lt; 85% en poids de lin, teints ou en fils de diverses couleurs ou imprimés")</f>
        <v xml:space="preserve">   Tissus de lin, contenant en prédominance, mais &lt; 85% en poids de lin, teints ou en fils de diverses couleurs ou imprimés</v>
      </c>
      <c r="C1198">
        <v>17000000</v>
      </c>
      <c r="D1198">
        <v>18560</v>
      </c>
    </row>
    <row r="1199" spans="1:4" x14ac:dyDescent="0.25">
      <c r="A1199" t="str">
        <f>T("   610910")</f>
        <v xml:space="preserve">   610910</v>
      </c>
      <c r="B1199" t="str">
        <f>T("   T-shirts et maillots de corps, en bonneterie, de coton,")</f>
        <v xml:space="preserve">   T-shirts et maillots de corps, en bonneterie, de coton,</v>
      </c>
      <c r="C1199">
        <v>696128</v>
      </c>
      <c r="D1199">
        <v>50</v>
      </c>
    </row>
    <row r="1200" spans="1:4" x14ac:dyDescent="0.25">
      <c r="A1200" t="str">
        <f>T("   610990")</f>
        <v xml:space="preserve">   610990</v>
      </c>
      <c r="B1200" t="str">
        <f>T("   T-shirts et maillots de corps, en bonneterie, de matières textiles (sauf de coton)")</f>
        <v xml:space="preserve">   T-shirts et maillots de corps, en bonneterie, de matières textiles (sauf de coton)</v>
      </c>
      <c r="C1200">
        <v>10000000</v>
      </c>
      <c r="D1200">
        <v>14494</v>
      </c>
    </row>
    <row r="1201" spans="1:4" x14ac:dyDescent="0.25">
      <c r="A1201" t="str">
        <f>T("   620590")</f>
        <v xml:space="preserve">   620590</v>
      </c>
      <c r="B1201"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1201">
        <v>2200000</v>
      </c>
      <c r="D1201">
        <v>1450</v>
      </c>
    </row>
    <row r="1202" spans="1:4" x14ac:dyDescent="0.25">
      <c r="A1202" t="str">
        <f>T("   630539")</f>
        <v xml:space="preserve">   630539</v>
      </c>
      <c r="B1202" t="str">
        <f>T("   Sacs et sachets d'emballage de matières synthétiques ou artificielles (autres qu'en lames ou formes simil. de polyéthylène ou de polypropylène ainsi que contenants souples pour matières en vrac)")</f>
        <v xml:space="preserve">   Sacs et sachets d'emballage de matières synthétiques ou artificielles (autres qu'en lames ou formes simil. de polyéthylène ou de polypropylène ainsi que contenants souples pour matières en vrac)</v>
      </c>
      <c r="C1202">
        <v>40000</v>
      </c>
      <c r="D1202">
        <v>80</v>
      </c>
    </row>
    <row r="1203" spans="1:4" x14ac:dyDescent="0.25">
      <c r="A1203" t="str">
        <f>T("   630900")</f>
        <v xml:space="preserve">   630900</v>
      </c>
      <c r="B1203" t="s">
        <v>280</v>
      </c>
      <c r="C1203">
        <v>2167282</v>
      </c>
      <c r="D1203">
        <v>4490</v>
      </c>
    </row>
    <row r="1204" spans="1:4" x14ac:dyDescent="0.25">
      <c r="A1204" t="str">
        <f>T("   690890")</f>
        <v xml:space="preserve">   690890</v>
      </c>
      <c r="B1204" t="s">
        <v>311</v>
      </c>
      <c r="C1204">
        <v>17995101</v>
      </c>
      <c r="D1204">
        <v>135758</v>
      </c>
    </row>
    <row r="1205" spans="1:4" x14ac:dyDescent="0.25">
      <c r="A1205" t="str">
        <f>T("   691110")</f>
        <v xml:space="preserve">   691110</v>
      </c>
      <c r="B1205" t="s">
        <v>314</v>
      </c>
      <c r="C1205">
        <v>11184221</v>
      </c>
      <c r="D1205">
        <v>35061.94</v>
      </c>
    </row>
    <row r="1206" spans="1:4" x14ac:dyDescent="0.25">
      <c r="A1206" t="str">
        <f>T("   701990")</f>
        <v xml:space="preserve">   701990</v>
      </c>
      <c r="B1206" t="s">
        <v>333</v>
      </c>
      <c r="C1206">
        <v>3353687</v>
      </c>
      <c r="D1206">
        <v>1978</v>
      </c>
    </row>
    <row r="1207" spans="1:4" x14ac:dyDescent="0.25">
      <c r="A1207" t="str">
        <f>T("   721041")</f>
        <v xml:space="preserve">   721041</v>
      </c>
      <c r="B1207" t="str">
        <f>T("   Produits laminés plats, en fer ou en aciers non alliés, d'une largeur &gt;= 600 mm, laminés à chaud ou à froid, zingués, ondulés (à l'excl. des produits zingués électrolytiquement)")</f>
        <v xml:space="preserve">   Produits laminés plats, en fer ou en aciers non alliés, d'une largeur &gt;= 600 mm, laminés à chaud ou à froid, zingués, ondulés (à l'excl. des produits zingués électrolytiquement)</v>
      </c>
      <c r="C1207">
        <v>503875316</v>
      </c>
      <c r="D1207">
        <v>1766000</v>
      </c>
    </row>
    <row r="1208" spans="1:4" x14ac:dyDescent="0.25">
      <c r="A1208" t="str">
        <f>T("   721049")</f>
        <v xml:space="preserve">   721049</v>
      </c>
      <c r="B1208" t="str">
        <f>T("   Produits laminés plats, en fer ou en aciers non alliés, d'une largeur &gt;= 600 mm, laminés à chaud ou à froid, zingués, non ondulés (à l'excl. des produits zingués électrolytiquement)")</f>
        <v xml:space="preserve">   Produits laminés plats, en fer ou en aciers non alliés, d'une largeur &gt;= 600 mm, laminés à chaud ou à froid, zingués, non ondulés (à l'excl. des produits zingués électrolytiquement)</v>
      </c>
      <c r="C1208">
        <v>60420600</v>
      </c>
      <c r="D1208">
        <v>250000</v>
      </c>
    </row>
    <row r="1209" spans="1:4" x14ac:dyDescent="0.25">
      <c r="A1209" t="str">
        <f>T("   731700")</f>
        <v xml:space="preserve">   731700</v>
      </c>
      <c r="B1209" t="str">
        <f>T("   Pointes, clous, punaises, crampons appointés, agrafes ondulées ou biseautées et articles simil., en fonte, fer ou acier, même avec tête en autre matière (à l'excl. de ceux avec tête en cuivre et à l'excl. des agrafes en barrettes)")</f>
        <v xml:space="preserve">   Pointes, clous, punaises, crampons appointés, agrafes ondulées ou biseautées et articles simil., en fonte, fer ou acier, même avec tête en autre matière (à l'excl. de ceux avec tête en cuivre et à l'excl. des agrafes en barrettes)</v>
      </c>
      <c r="C1209">
        <v>46115016</v>
      </c>
      <c r="D1209">
        <v>215000</v>
      </c>
    </row>
    <row r="1210" spans="1:4" x14ac:dyDescent="0.25">
      <c r="A1210" t="str">
        <f>T("   731829")</f>
        <v xml:space="preserve">   731829</v>
      </c>
      <c r="B1210" t="str">
        <f>T("   Articles de boulonnerie et de visserie non filetés, en fonte, fer ou acier, n.d.a.")</f>
        <v xml:space="preserve">   Articles de boulonnerie et de visserie non filetés, en fonte, fer ou acier, n.d.a.</v>
      </c>
      <c r="C1210">
        <v>25821669</v>
      </c>
      <c r="D1210">
        <v>12780</v>
      </c>
    </row>
    <row r="1211" spans="1:4" x14ac:dyDescent="0.25">
      <c r="A1211" t="str">
        <f>T("   732394")</f>
        <v xml:space="preserve">   732394</v>
      </c>
      <c r="B1211" t="s">
        <v>361</v>
      </c>
      <c r="C1211">
        <v>900000</v>
      </c>
      <c r="D1211">
        <v>720</v>
      </c>
    </row>
    <row r="1212" spans="1:4" x14ac:dyDescent="0.25">
      <c r="A1212" t="str">
        <f>T("   850610")</f>
        <v xml:space="preserve">   850610</v>
      </c>
      <c r="B1212" t="str">
        <f>T("   Piles et batteries de piles électriques, au bioxyde de manganèse (sauf hors d'usage)")</f>
        <v xml:space="preserve">   Piles et batteries de piles électriques, au bioxyde de manganèse (sauf hors d'usage)</v>
      </c>
      <c r="C1212">
        <v>170282802</v>
      </c>
      <c r="D1212">
        <v>630520</v>
      </c>
    </row>
    <row r="1213" spans="1:4" x14ac:dyDescent="0.25">
      <c r="A1213" t="str">
        <f>T("   870120")</f>
        <v xml:space="preserve">   870120</v>
      </c>
      <c r="B1213" t="str">
        <f>T("   Tracteurs routiers pour semi-remorques")</f>
        <v xml:space="preserve">   Tracteurs routiers pour semi-remorques</v>
      </c>
      <c r="C1213">
        <v>2000000</v>
      </c>
      <c r="D1213">
        <v>6831</v>
      </c>
    </row>
    <row r="1214" spans="1:4" x14ac:dyDescent="0.25">
      <c r="A1214" t="str">
        <f>T("   871640")</f>
        <v xml:space="preserve">   871640</v>
      </c>
      <c r="B1214" t="str">
        <f>T("   Remorques ne circulant pas sur rails (à l'excl. des remorques pour le transport de marchandises et remorques pour l'habitation ou le camping, du type caravane)")</f>
        <v xml:space="preserve">   Remorques ne circulant pas sur rails (à l'excl. des remorques pour le transport de marchandises et remorques pour l'habitation ou le camping, du type caravane)</v>
      </c>
      <c r="C1214">
        <v>2001000</v>
      </c>
      <c r="D1214">
        <v>2500</v>
      </c>
    </row>
    <row r="1215" spans="1:4" x14ac:dyDescent="0.25">
      <c r="A1215" t="str">
        <f>T("   940350")</f>
        <v xml:space="preserve">   940350</v>
      </c>
      <c r="B1215" t="str">
        <f>T("   Meubles pour chambres à coucher, en bois (sauf sièges)")</f>
        <v xml:space="preserve">   Meubles pour chambres à coucher, en bois (sauf sièges)</v>
      </c>
      <c r="C1215">
        <v>5060000</v>
      </c>
      <c r="D1215">
        <v>3853</v>
      </c>
    </row>
    <row r="1216" spans="1:4" x14ac:dyDescent="0.25">
      <c r="A1216" t="str">
        <f>T("   940370")</f>
        <v xml:space="preserve">   940370</v>
      </c>
      <c r="B1216" t="str">
        <f>T("   Meubles en matières plastiques (autres que pour la médecine, l'art dentaire et vétérinaire, la chirurgie et autres que sièges)")</f>
        <v xml:space="preserve">   Meubles en matières plastiques (autres que pour la médecine, l'art dentaire et vétérinaire, la chirurgie et autres que sièges)</v>
      </c>
      <c r="C1216">
        <v>421847</v>
      </c>
      <c r="D1216">
        <v>61</v>
      </c>
    </row>
    <row r="1217" spans="1:4" x14ac:dyDescent="0.25">
      <c r="A1217" t="str">
        <f>T("BW")</f>
        <v>BW</v>
      </c>
      <c r="B1217" t="str">
        <f>T("Botswana")</f>
        <v>Botswana</v>
      </c>
    </row>
    <row r="1218" spans="1:4" x14ac:dyDescent="0.25">
      <c r="A1218" t="str">
        <f>T("   ZZ_Total_Produit_SH6")</f>
        <v xml:space="preserve">   ZZ_Total_Produit_SH6</v>
      </c>
      <c r="B1218" t="str">
        <f>T("   ZZ_Total_Produit_SH6")</f>
        <v xml:space="preserve">   ZZ_Total_Produit_SH6</v>
      </c>
      <c r="C1218">
        <v>1600000</v>
      </c>
      <c r="D1218">
        <v>12000</v>
      </c>
    </row>
    <row r="1219" spans="1:4" x14ac:dyDescent="0.25">
      <c r="A1219" t="str">
        <f>T("   841510")</f>
        <v xml:space="preserve">   841510</v>
      </c>
      <c r="B1219" t="s">
        <v>395</v>
      </c>
      <c r="C1219">
        <v>80000</v>
      </c>
      <c r="D1219">
        <v>5</v>
      </c>
    </row>
    <row r="1220" spans="1:4" x14ac:dyDescent="0.25">
      <c r="A1220" t="str">
        <f>T("   841830")</f>
        <v xml:space="preserve">   841830</v>
      </c>
      <c r="B1220" t="str">
        <f>T("   Meubles congélateurs-conservateurs du type coffre, capacité &lt;= 800 l")</f>
        <v xml:space="preserve">   Meubles congélateurs-conservateurs du type coffre, capacité &lt;= 800 l</v>
      </c>
      <c r="C1220">
        <v>50000</v>
      </c>
      <c r="D1220">
        <v>5</v>
      </c>
    </row>
    <row r="1221" spans="1:4" x14ac:dyDescent="0.25">
      <c r="A1221" t="str">
        <f>T("   847180")</f>
        <v xml:space="preserve">   847180</v>
      </c>
      <c r="B1221" t="str">
        <f>T("   Unités de machines automatiques de traitement de l'information, numériques (à l'excl. des unités de traitement, unités d'entrée ou de sortie et unités de mémoire)")</f>
        <v xml:space="preserve">   Unités de machines automatiques de traitement de l'information, numériques (à l'excl. des unités de traitement, unités d'entrée ou de sortie et unités de mémoire)</v>
      </c>
      <c r="C1221">
        <v>50000</v>
      </c>
      <c r="D1221">
        <v>3</v>
      </c>
    </row>
    <row r="1222" spans="1:4" x14ac:dyDescent="0.25">
      <c r="A1222" t="str">
        <f>T("   852033")</f>
        <v xml:space="preserve">   852033</v>
      </c>
      <c r="B1222" t="str">
        <f>T("   Appareils d'enregistrement et de reproduction du son, à cassettes (autres que numériques)")</f>
        <v xml:space="preserve">   Appareils d'enregistrement et de reproduction du son, à cassettes (autres que numériques)</v>
      </c>
      <c r="C1222">
        <v>500000</v>
      </c>
      <c r="D1222">
        <v>50</v>
      </c>
    </row>
    <row r="1223" spans="1:4" x14ac:dyDescent="0.25">
      <c r="A1223" t="str">
        <f>T("   900911")</f>
        <v xml:space="preserve">   900911</v>
      </c>
      <c r="B1223" t="str">
        <f>T("   Appareils de photocopie électrostatiques, fonctionnant par reproduction directe de l'image de l'original sur la copie [procédé direct]")</f>
        <v xml:space="preserve">   Appareils de photocopie électrostatiques, fonctionnant par reproduction directe de l'image de l'original sur la copie [procédé direct]</v>
      </c>
      <c r="C1223">
        <v>95000</v>
      </c>
      <c r="D1223">
        <v>105</v>
      </c>
    </row>
    <row r="1224" spans="1:4" x14ac:dyDescent="0.25">
      <c r="A1224" t="str">
        <f>T("   940310")</f>
        <v xml:space="preserve">   940310</v>
      </c>
      <c r="B1224" t="str">
        <f>T("   Meubles de bureau en métal (sauf sièges)")</f>
        <v xml:space="preserve">   Meubles de bureau en métal (sauf sièges)</v>
      </c>
      <c r="C1224">
        <v>25000</v>
      </c>
      <c r="D1224">
        <v>3</v>
      </c>
    </row>
    <row r="1225" spans="1:4" x14ac:dyDescent="0.25">
      <c r="A1225" t="str">
        <f>T("   940380")</f>
        <v xml:space="preserve">   940380</v>
      </c>
      <c r="B1225" t="str">
        <f>T("   Meubles en rotin, osier, bambou ou autres matières (sauf métal, bois et matières plastiques)")</f>
        <v xml:space="preserve">   Meubles en rotin, osier, bambou ou autres matières (sauf métal, bois et matières plastiques)</v>
      </c>
      <c r="C1225">
        <v>800000</v>
      </c>
      <c r="D1225">
        <v>11829</v>
      </c>
    </row>
    <row r="1226" spans="1:4" x14ac:dyDescent="0.25">
      <c r="A1226" t="str">
        <f>T("BY")</f>
        <v>BY</v>
      </c>
      <c r="B1226" t="str">
        <f>T("Bélarus")</f>
        <v>Bélarus</v>
      </c>
    </row>
    <row r="1227" spans="1:4" x14ac:dyDescent="0.25">
      <c r="A1227" t="str">
        <f>T("   ZZ_Total_Produit_SH6")</f>
        <v xml:space="preserve">   ZZ_Total_Produit_SH6</v>
      </c>
      <c r="B1227" t="str">
        <f>T("   ZZ_Total_Produit_SH6")</f>
        <v xml:space="preserve">   ZZ_Total_Produit_SH6</v>
      </c>
      <c r="C1227">
        <v>22367935</v>
      </c>
      <c r="D1227">
        <v>21020</v>
      </c>
    </row>
    <row r="1228" spans="1:4" x14ac:dyDescent="0.25">
      <c r="A1228" t="str">
        <f>T("   392690")</f>
        <v xml:space="preserve">   392690</v>
      </c>
      <c r="B1228" t="str">
        <f>T("   Ouvrages en matières plastiques et ouvrages en autres matières du n° 3901 à 3914, n.d.a.")</f>
        <v xml:space="preserve">   Ouvrages en matières plastiques et ouvrages en autres matières du n° 3901 à 3914, n.d.a.</v>
      </c>
      <c r="C1228">
        <v>81752</v>
      </c>
      <c r="D1228">
        <v>5</v>
      </c>
    </row>
    <row r="1229" spans="1:4" x14ac:dyDescent="0.25">
      <c r="A1229" t="str">
        <f>T("   490199")</f>
        <v xml:space="preserve">   490199</v>
      </c>
      <c r="B1229"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1229">
        <v>17584248</v>
      </c>
      <c r="D1229">
        <v>20790</v>
      </c>
    </row>
    <row r="1230" spans="1:4" x14ac:dyDescent="0.25">
      <c r="A1230" t="str">
        <f>T("   731819")</f>
        <v xml:space="preserve">   731819</v>
      </c>
      <c r="B1230" t="str">
        <f>T("   Articles de boulonnerie et de visserie, filetés, en fonte, fer ou acier, n.d.a.")</f>
        <v xml:space="preserve">   Articles de boulonnerie et de visserie, filetés, en fonte, fer ou acier, n.d.a.</v>
      </c>
      <c r="C1230">
        <v>24796</v>
      </c>
      <c r="D1230">
        <v>2</v>
      </c>
    </row>
    <row r="1231" spans="1:4" x14ac:dyDescent="0.25">
      <c r="A1231" t="str">
        <f>T("   841221")</f>
        <v xml:space="preserve">   841221</v>
      </c>
      <c r="B1231" t="str">
        <f>T("   Moteurs hydrauliques à mouvement rectiligne -cylindres-")</f>
        <v xml:space="preserve">   Moteurs hydrauliques à mouvement rectiligne -cylindres-</v>
      </c>
      <c r="C1231">
        <v>2350718</v>
      </c>
      <c r="D1231">
        <v>164</v>
      </c>
    </row>
    <row r="1232" spans="1:4" x14ac:dyDescent="0.25">
      <c r="A1232" t="str">
        <f>T("   848490")</f>
        <v xml:space="preserve">   848490</v>
      </c>
      <c r="B1232" t="str">
        <f>T("   Jeux ou assortiments de joints de composition différente présentés en pochettes, enveloppes ou emballages analogues")</f>
        <v xml:space="preserve">   Jeux ou assortiments de joints de composition différente présentés en pochettes, enveloppes ou emballages analogues</v>
      </c>
      <c r="C1232">
        <v>1604170</v>
      </c>
      <c r="D1232">
        <v>11</v>
      </c>
    </row>
    <row r="1233" spans="1:4" x14ac:dyDescent="0.25">
      <c r="A1233" t="str">
        <f>T("   850590")</f>
        <v xml:space="preserve">   850590</v>
      </c>
      <c r="B1233" t="str">
        <f>T("   ÉLECTRO-AIMANTS (AUTRES QU'À USAGES MÉDICAUX), TÊTES DE LEVAGE ÉLECTROMAGNÉTIQUES AINSI QUE PLATEAUX, MANDRINS ET DISPOSITIFS MAGNÉTIQUES OU ÉLECTROMAGNÉTIQUES SIMIL. DE FIXATION ET LEURS PARTIES N.D.A.")</f>
        <v xml:space="preserve">   ÉLECTRO-AIMANTS (AUTRES QU'À USAGES MÉDICAUX), TÊTES DE LEVAGE ÉLECTROMAGNÉTIQUES AINSI QUE PLATEAUX, MANDRINS ET DISPOSITIFS MAGNÉTIQUES OU ÉLECTROMAGNÉTIQUES SIMIL. DE FIXATION ET LEURS PARTIES N.D.A.</v>
      </c>
      <c r="C1233">
        <v>343598</v>
      </c>
      <c r="D1233">
        <v>23</v>
      </c>
    </row>
    <row r="1234" spans="1:4" x14ac:dyDescent="0.25">
      <c r="A1234" t="str">
        <f>T("   870839")</f>
        <v xml:space="preserve">   870839</v>
      </c>
      <c r="B1234" t="str">
        <f>T("   FREINS ET SERVO-FREINS, ET LEURS PARTIES, POUR DE TRACTEURS, VÉHICULES POUR LE TRANSPORT DE &gt;= 10 PERSONNES, CHAUFFEUR INCLUS, VOITURES DE TOURISME, VÉHICULES POUR LE TRANSPORT DE MARCHANDISES ET VÉHICULES À USAGES SPÉCIAUX, N.D.A.")</f>
        <v xml:space="preserve">   FREINS ET SERVO-FREINS, ET LEURS PARTIES, POUR DE TRACTEURS, VÉHICULES POUR LE TRANSPORT DE &gt;= 10 PERSONNES, CHAUFFEUR INCLUS, VOITURES DE TOURISME, VÉHICULES POUR LE TRANSPORT DE MARCHANDISES ET VÉHICULES À USAGES SPÉCIAUX, N.D.A.</v>
      </c>
      <c r="C1234">
        <v>378653</v>
      </c>
      <c r="D1234">
        <v>25</v>
      </c>
    </row>
    <row r="1235" spans="1:4" x14ac:dyDescent="0.25">
      <c r="A1235" t="str">
        <f>T("BZ")</f>
        <v>BZ</v>
      </c>
      <c r="B1235" t="str">
        <f>T("Belize")</f>
        <v>Belize</v>
      </c>
    </row>
    <row r="1236" spans="1:4" x14ac:dyDescent="0.25">
      <c r="A1236" t="str">
        <f>T("   ZZ_Total_Produit_SH6")</f>
        <v xml:space="preserve">   ZZ_Total_Produit_SH6</v>
      </c>
      <c r="B1236" t="str">
        <f>T("   ZZ_Total_Produit_SH6")</f>
        <v xml:space="preserve">   ZZ_Total_Produit_SH6</v>
      </c>
      <c r="C1236">
        <v>287206152</v>
      </c>
      <c r="D1236">
        <v>1100024</v>
      </c>
    </row>
    <row r="1237" spans="1:4" x14ac:dyDescent="0.25">
      <c r="A1237" t="str">
        <f>T("   020714")</f>
        <v xml:space="preserve">   020714</v>
      </c>
      <c r="B1237" t="str">
        <f>T("   Morceaux et abats comestibles de coqs et de poules [des espèces domestiques], congelés")</f>
        <v xml:space="preserve">   Morceaux et abats comestibles de coqs et de poules [des espèces domestiques], congelés</v>
      </c>
      <c r="C1237">
        <v>62200752</v>
      </c>
      <c r="D1237">
        <v>100000</v>
      </c>
    </row>
    <row r="1238" spans="1:4" x14ac:dyDescent="0.25">
      <c r="A1238" t="str">
        <f>T("   030379")</f>
        <v xml:space="preserve">   030379</v>
      </c>
      <c r="B1238" t="s">
        <v>15</v>
      </c>
      <c r="C1238">
        <v>225005400</v>
      </c>
      <c r="D1238">
        <v>1000024</v>
      </c>
    </row>
    <row r="1239" spans="1:4" x14ac:dyDescent="0.25">
      <c r="A1239" t="str">
        <f>T("CA")</f>
        <v>CA</v>
      </c>
      <c r="B1239" t="str">
        <f>T("Canada")</f>
        <v>Canada</v>
      </c>
    </row>
    <row r="1240" spans="1:4" x14ac:dyDescent="0.25">
      <c r="A1240" t="str">
        <f>T("   ZZ_Total_Produit_SH6")</f>
        <v xml:space="preserve">   ZZ_Total_Produit_SH6</v>
      </c>
      <c r="B1240" t="str">
        <f>T("   ZZ_Total_Produit_SH6")</f>
        <v xml:space="preserve">   ZZ_Total_Produit_SH6</v>
      </c>
      <c r="C1240">
        <v>4809640663</v>
      </c>
      <c r="D1240">
        <v>7660625.8399999999</v>
      </c>
    </row>
    <row r="1241" spans="1:4" x14ac:dyDescent="0.25">
      <c r="A1241" t="str">
        <f>T("   020712")</f>
        <v xml:space="preserve">   020712</v>
      </c>
      <c r="B1241" t="str">
        <f>T("   COQS ET POULES [DES ESPÈCES DOMESTIQUES], NON-DÉCOUPÉS EN MORCEAUX, CONGELÉS")</f>
        <v xml:space="preserve">   COQS ET POULES [DES ESPÈCES DOMESTIQUES], NON-DÉCOUPÉS EN MORCEAUX, CONGELÉS</v>
      </c>
      <c r="C1241">
        <v>124557621</v>
      </c>
      <c r="D1241">
        <v>199892</v>
      </c>
    </row>
    <row r="1242" spans="1:4" x14ac:dyDescent="0.25">
      <c r="A1242" t="str">
        <f>T("   020714")</f>
        <v xml:space="preserve">   020714</v>
      </c>
      <c r="B1242" t="str">
        <f>T("   Morceaux et abats comestibles de coqs et de poules [des espèces domestiques], congelés")</f>
        <v xml:space="preserve">   Morceaux et abats comestibles de coqs et de poules [des espèces domestiques], congelés</v>
      </c>
      <c r="C1242">
        <v>2279750165</v>
      </c>
      <c r="D1242">
        <v>3682336</v>
      </c>
    </row>
    <row r="1243" spans="1:4" x14ac:dyDescent="0.25">
      <c r="A1243" t="str">
        <f>T("   020727")</f>
        <v xml:space="preserve">   020727</v>
      </c>
      <c r="B1243" t="str">
        <f>T("   Morceaux et abats comestibles de dindes et dindons [des espèces domestiques], congelés")</f>
        <v xml:space="preserve">   Morceaux et abats comestibles de dindes et dindons [des espèces domestiques], congelés</v>
      </c>
      <c r="C1243">
        <v>483653282</v>
      </c>
      <c r="D1243">
        <v>775869</v>
      </c>
    </row>
    <row r="1244" spans="1:4" x14ac:dyDescent="0.25">
      <c r="A1244" t="str">
        <f>T("   050400")</f>
        <v xml:space="preserve">   050400</v>
      </c>
      <c r="B1244" t="str">
        <f>T("   Boyaux, vessies et estomacs d'animaux (autres que ceux de poissons), entiers ou en morceaux, à l'état frais, réfrigéré, congelé, salé ou en saumure, séché ou fumé")</f>
        <v xml:space="preserve">   Boyaux, vessies et estomacs d'animaux (autres que ceux de poissons), entiers ou en morceaux, à l'état frais, réfrigéré, congelé, salé ou en saumure, séché ou fumé</v>
      </c>
      <c r="C1244">
        <v>191818431</v>
      </c>
      <c r="D1244">
        <v>167512</v>
      </c>
    </row>
    <row r="1245" spans="1:4" x14ac:dyDescent="0.25">
      <c r="A1245" t="str">
        <f>T("   080610")</f>
        <v xml:space="preserve">   080610</v>
      </c>
      <c r="B1245" t="str">
        <f>T("   Raisins, frais")</f>
        <v xml:space="preserve">   Raisins, frais</v>
      </c>
      <c r="C1245">
        <v>5000100</v>
      </c>
      <c r="D1245">
        <v>18589</v>
      </c>
    </row>
    <row r="1246" spans="1:4" x14ac:dyDescent="0.25">
      <c r="A1246" t="str">
        <f>T("   080810")</f>
        <v xml:space="preserve">   080810</v>
      </c>
      <c r="B1246" t="str">
        <f>T("   Pommes, fraîches")</f>
        <v xml:space="preserve">   Pommes, fraîches</v>
      </c>
      <c r="C1246">
        <v>281604515</v>
      </c>
      <c r="D1246">
        <v>929509</v>
      </c>
    </row>
    <row r="1247" spans="1:4" x14ac:dyDescent="0.25">
      <c r="A1247" t="str">
        <f>T("   080820")</f>
        <v xml:space="preserve">   080820</v>
      </c>
      <c r="B1247" t="str">
        <f>T("   Poires et coings, frais")</f>
        <v xml:space="preserve">   Poires et coings, frais</v>
      </c>
      <c r="C1247">
        <v>2562605</v>
      </c>
      <c r="D1247">
        <v>8604</v>
      </c>
    </row>
    <row r="1248" spans="1:4" x14ac:dyDescent="0.25">
      <c r="A1248" t="str">
        <f>T("   080930")</f>
        <v xml:space="preserve">   080930</v>
      </c>
      <c r="B1248" t="str">
        <f>T("   Pêches, y.c. les brugnons et nectarines, fraîches")</f>
        <v xml:space="preserve">   Pêches, y.c. les brugnons et nectarines, fraîches</v>
      </c>
      <c r="C1248">
        <v>122714</v>
      </c>
      <c r="D1248">
        <v>175</v>
      </c>
    </row>
    <row r="1249" spans="1:4" x14ac:dyDescent="0.25">
      <c r="A1249" t="str">
        <f>T("   080940")</f>
        <v xml:space="preserve">   080940</v>
      </c>
      <c r="B1249" t="str">
        <f>T("   Prunes et prunelles, fraîches")</f>
        <v xml:space="preserve">   Prunes et prunelles, fraîches</v>
      </c>
      <c r="C1249">
        <v>87721</v>
      </c>
      <c r="D1249">
        <v>250</v>
      </c>
    </row>
    <row r="1250" spans="1:4" x14ac:dyDescent="0.25">
      <c r="A1250" t="str">
        <f>T("   081090")</f>
        <v xml:space="preserve">   081090</v>
      </c>
      <c r="B1250" t="s">
        <v>22</v>
      </c>
      <c r="C1250">
        <v>87721</v>
      </c>
      <c r="D1250">
        <v>100</v>
      </c>
    </row>
    <row r="1251" spans="1:4" x14ac:dyDescent="0.25">
      <c r="A1251" t="str">
        <f>T("   090190")</f>
        <v xml:space="preserve">   090190</v>
      </c>
      <c r="B1251" t="str">
        <f>T("   Coques et pellicules de café; succédanés du café contenant du café, quelles que soient les proportions du mélange")</f>
        <v xml:space="preserve">   Coques et pellicules de café; succédanés du café contenant du café, quelles que soient les proportions du mélange</v>
      </c>
      <c r="C1251">
        <v>97308</v>
      </c>
      <c r="D1251">
        <v>319</v>
      </c>
    </row>
    <row r="1252" spans="1:4" x14ac:dyDescent="0.25">
      <c r="A1252" t="str">
        <f>T("   090220")</f>
        <v xml:space="preserve">   090220</v>
      </c>
      <c r="B1252" t="str">
        <f>T("   Thé vert [thé non fermenté], présenté en emballages immédiats d'un contenu &gt; 3 kg")</f>
        <v xml:space="preserve">   Thé vert [thé non fermenté], présenté en emballages immédiats d'un contenu &gt; 3 kg</v>
      </c>
      <c r="C1252">
        <v>190781</v>
      </c>
      <c r="D1252">
        <v>686</v>
      </c>
    </row>
    <row r="1253" spans="1:4" x14ac:dyDescent="0.25">
      <c r="A1253" t="str">
        <f>T("   091010")</f>
        <v xml:space="preserve">   091010</v>
      </c>
      <c r="B1253" t="str">
        <f>T("   Gingembre")</f>
        <v xml:space="preserve">   Gingembre</v>
      </c>
      <c r="C1253">
        <v>5273</v>
      </c>
      <c r="D1253">
        <v>16</v>
      </c>
    </row>
    <row r="1254" spans="1:4" x14ac:dyDescent="0.25">
      <c r="A1254" t="str">
        <f>T("   091050")</f>
        <v xml:space="preserve">   091050</v>
      </c>
      <c r="B1254" t="str">
        <f>T("   Curry")</f>
        <v xml:space="preserve">   Curry</v>
      </c>
      <c r="C1254">
        <v>1438</v>
      </c>
      <c r="D1254">
        <v>14</v>
      </c>
    </row>
    <row r="1255" spans="1:4" x14ac:dyDescent="0.25">
      <c r="A1255" t="str">
        <f>T("   100630")</f>
        <v xml:space="preserve">   100630</v>
      </c>
      <c r="B1255" t="str">
        <f>T("   Riz semi-blanchi ou blanchi, même poli ou glacé")</f>
        <v xml:space="preserve">   Riz semi-blanchi ou blanchi, même poli ou glacé</v>
      </c>
      <c r="C1255">
        <v>29720</v>
      </c>
      <c r="D1255">
        <v>67</v>
      </c>
    </row>
    <row r="1256" spans="1:4" x14ac:dyDescent="0.25">
      <c r="A1256" t="str">
        <f>T("   110290")</f>
        <v xml:space="preserve">   110290</v>
      </c>
      <c r="B1256" t="str">
        <f>T("   FARINES DE CÉRÉALES (À L'EXCL. DES FARINES DE FROMENT [BLÉ], DE MÉTEIL, DE SEIGLE ET DE MAÏS)")</f>
        <v xml:space="preserve">   FARINES DE CÉRÉALES (À L'EXCL. DES FARINES DE FROMENT [BLÉ], DE MÉTEIL, DE SEIGLE ET DE MAÏS)</v>
      </c>
      <c r="C1256">
        <v>1438</v>
      </c>
      <c r="D1256">
        <v>16</v>
      </c>
    </row>
    <row r="1257" spans="1:4" x14ac:dyDescent="0.25">
      <c r="A1257" t="str">
        <f>T("   151211")</f>
        <v xml:space="preserve">   151211</v>
      </c>
      <c r="B1257" t="str">
        <f>T("   Huiles de tournesol ou de carthame, brutes")</f>
        <v xml:space="preserve">   Huiles de tournesol ou de carthame, brutes</v>
      </c>
      <c r="C1257">
        <v>81000</v>
      </c>
      <c r="D1257">
        <v>324</v>
      </c>
    </row>
    <row r="1258" spans="1:4" x14ac:dyDescent="0.25">
      <c r="A1258" t="str">
        <f>T("   190590")</f>
        <v xml:space="preserve">   190590</v>
      </c>
      <c r="B1258" t="s">
        <v>50</v>
      </c>
      <c r="C1258">
        <v>3500000</v>
      </c>
      <c r="D1258">
        <v>4593</v>
      </c>
    </row>
    <row r="1259" spans="1:4" x14ac:dyDescent="0.25">
      <c r="A1259" t="str">
        <f>T("   210390")</f>
        <v xml:space="preserve">   210390</v>
      </c>
      <c r="B1259" t="str">
        <f>T("   Préparations pour sauces et sauces préparées; condiments et assaisonnements, composés (à l'excl. de la sauce de soja, du tomato ketchup et autres sauces tomates, de la farine de moutarde et de la moutarde préparée)")</f>
        <v xml:space="preserve">   Préparations pour sauces et sauces préparées; condiments et assaisonnements, composés (à l'excl. de la sauce de soja, du tomato ketchup et autres sauces tomates, de la farine de moutarde et de la moutarde préparée)</v>
      </c>
      <c r="C1259">
        <v>6445340</v>
      </c>
      <c r="D1259">
        <v>17077</v>
      </c>
    </row>
    <row r="1260" spans="1:4" x14ac:dyDescent="0.25">
      <c r="A1260" t="str">
        <f>T("   220290")</f>
        <v xml:space="preserve">   220290</v>
      </c>
      <c r="B1260" t="str">
        <f>T("   BOISSONS NON-ALCOOLIQUES (À L'EXCL. DES EAUX, DES JUS DE FRUITS OU DE LÉGUMES AINSI QUE DU LAIT)")</f>
        <v xml:space="preserve">   BOISSONS NON-ALCOOLIQUES (À L'EXCL. DES EAUX, DES JUS DE FRUITS OU DE LÉGUMES AINSI QUE DU LAIT)</v>
      </c>
      <c r="C1260">
        <v>235361</v>
      </c>
      <c r="D1260">
        <v>1026</v>
      </c>
    </row>
    <row r="1261" spans="1:4" x14ac:dyDescent="0.25">
      <c r="A1261" t="str">
        <f>T("   220421")</f>
        <v xml:space="preserve">   220421</v>
      </c>
      <c r="B1261" t="str">
        <f>T("   Vins de raisins frais, y.c. les vins enrichis en alcool (à l'excl. des vins mousseux); moûts de raisins dont la fermentation a été empêchée ou arrêtée par addition d'alcool, en récipients d'une contenance &lt;= 2 l")</f>
        <v xml:space="preserve">   Vins de raisins frais, y.c. les vins enrichis en alcool (à l'excl. des vins mousseux); moûts de raisins dont la fermentation a été empêchée ou arrêtée par addition d'alcool, en récipients d'une contenance &lt;= 2 l</v>
      </c>
      <c r="C1261">
        <v>150000</v>
      </c>
      <c r="D1261">
        <v>45</v>
      </c>
    </row>
    <row r="1262" spans="1:4" x14ac:dyDescent="0.25">
      <c r="A1262" t="str">
        <f>T("   220870")</f>
        <v xml:space="preserve">   220870</v>
      </c>
      <c r="B1262" t="str">
        <f>T("   LIQUEURS")</f>
        <v xml:space="preserve">   LIQUEURS</v>
      </c>
      <c r="C1262">
        <v>200000</v>
      </c>
      <c r="D1262">
        <v>45</v>
      </c>
    </row>
    <row r="1263" spans="1:4" x14ac:dyDescent="0.25">
      <c r="A1263" t="str">
        <f>T("   220890")</f>
        <v xml:space="preserve">   220890</v>
      </c>
      <c r="B1263" t="s">
        <v>58</v>
      </c>
      <c r="C1263">
        <v>3726946</v>
      </c>
      <c r="D1263">
        <v>1352</v>
      </c>
    </row>
    <row r="1264" spans="1:4" x14ac:dyDescent="0.25">
      <c r="A1264" t="str">
        <f>T("   230910")</f>
        <v xml:space="preserve">   230910</v>
      </c>
      <c r="B1264" t="str">
        <f>T("   Aliments pour chiens ou chats, conditionnés pour la vente au détail")</f>
        <v xml:space="preserve">   Aliments pour chiens ou chats, conditionnés pour la vente au détail</v>
      </c>
      <c r="C1264">
        <v>155309</v>
      </c>
      <c r="D1264">
        <v>460</v>
      </c>
    </row>
    <row r="1265" spans="1:4" x14ac:dyDescent="0.25">
      <c r="A1265" t="str">
        <f>T("   300390")</f>
        <v xml:space="preserve">   300390</v>
      </c>
      <c r="B1265" t="s">
        <v>73</v>
      </c>
      <c r="C1265">
        <v>14337424</v>
      </c>
      <c r="D1265">
        <v>15003</v>
      </c>
    </row>
    <row r="1266" spans="1:4" x14ac:dyDescent="0.25">
      <c r="A1266" t="str">
        <f>T("   300490")</f>
        <v xml:space="preserve">   300490</v>
      </c>
      <c r="B1266" t="s">
        <v>78</v>
      </c>
      <c r="C1266">
        <v>3902414</v>
      </c>
      <c r="D1266">
        <v>6528</v>
      </c>
    </row>
    <row r="1267" spans="1:4" x14ac:dyDescent="0.25">
      <c r="A1267" t="str">
        <f>T("   320990")</f>
        <v xml:space="preserve">   320990</v>
      </c>
      <c r="B1267" t="str">
        <f>T("   Peintures et vernis à base de polymères synthétiques ou de polymères naturels modifiés, dispersés ou dissous dans un milieu aqueux (à l'excl. des produits à base de polymères acryliques ou vinyliques)")</f>
        <v xml:space="preserve">   Peintures et vernis à base de polymères synthétiques ou de polymères naturels modifiés, dispersés ou dissous dans un milieu aqueux (à l'excl. des produits à base de polymères acryliques ou vinyliques)</v>
      </c>
      <c r="C1267">
        <v>300000</v>
      </c>
      <c r="D1267">
        <v>100</v>
      </c>
    </row>
    <row r="1268" spans="1:4" x14ac:dyDescent="0.25">
      <c r="A1268" t="str">
        <f>T("   330499")</f>
        <v xml:space="preserve">   330499</v>
      </c>
      <c r="B1268" t="s">
        <v>100</v>
      </c>
      <c r="C1268">
        <v>253576</v>
      </c>
      <c r="D1268">
        <v>1365</v>
      </c>
    </row>
    <row r="1269" spans="1:4" x14ac:dyDescent="0.25">
      <c r="A1269" t="str">
        <f>T("   380810")</f>
        <v xml:space="preserve">   380810</v>
      </c>
      <c r="B1269" t="str">
        <f>T("   Insecticides présentés dans des formes ou emballages de vente au détail ou à l'état de préparations ou sous forme d'articles")</f>
        <v xml:space="preserve">   Insecticides présentés dans des formes ou emballages de vente au détail ou à l'état de préparations ou sous forme d'articles</v>
      </c>
      <c r="C1269">
        <v>547897</v>
      </c>
      <c r="D1269">
        <v>1239</v>
      </c>
    </row>
    <row r="1270" spans="1:4" x14ac:dyDescent="0.25">
      <c r="A1270" t="str">
        <f>T("   382200")</f>
        <v xml:space="preserve">   382200</v>
      </c>
      <c r="B1270" t="s">
        <v>125</v>
      </c>
      <c r="C1270">
        <v>116731216</v>
      </c>
      <c r="D1270">
        <v>4080</v>
      </c>
    </row>
    <row r="1271" spans="1:4" x14ac:dyDescent="0.25">
      <c r="A1271" t="str">
        <f>T("   391739")</f>
        <v xml:space="preserve">   391739</v>
      </c>
      <c r="B1271" t="str">
        <f>T("   TUBES ET TUYAUX SOUPLES, EN MATIÈRES PLASTIQUES, RENFORCÉS D'AUTRES MATIÈRES OU ASSOCIÉS À D'AUTRES MATIÈRES (À L'EXCL. DES PRODUITS POUVANT SUPPORTER UNE PRESSION &gt;= 27,6 MPA)")</f>
        <v xml:space="preserve">   TUBES ET TUYAUX SOUPLES, EN MATIÈRES PLASTIQUES, RENFORCÉS D'AUTRES MATIÈRES OU ASSOCIÉS À D'AUTRES MATIÈRES (À L'EXCL. DES PRODUITS POUVANT SUPPORTER UNE PRESSION &gt;= 27,6 MPA)</v>
      </c>
      <c r="C1271">
        <v>716158</v>
      </c>
      <c r="D1271">
        <v>450</v>
      </c>
    </row>
    <row r="1272" spans="1:4" x14ac:dyDescent="0.25">
      <c r="A1272" t="str">
        <f>T("   392490")</f>
        <v xml:space="preserve">   392490</v>
      </c>
      <c r="B1272" t="s">
        <v>145</v>
      </c>
      <c r="C1272">
        <v>2131424</v>
      </c>
      <c r="D1272">
        <v>8000</v>
      </c>
    </row>
    <row r="1273" spans="1:4" x14ac:dyDescent="0.25">
      <c r="A1273" t="str">
        <f>T("   392690")</f>
        <v xml:space="preserve">   392690</v>
      </c>
      <c r="B1273" t="str">
        <f>T("   Ouvrages en matières plastiques et ouvrages en autres matières du n° 3901 à 3914, n.d.a.")</f>
        <v xml:space="preserve">   Ouvrages en matières plastiques et ouvrages en autres matières du n° 3901 à 3914, n.d.a.</v>
      </c>
      <c r="C1273">
        <v>42638</v>
      </c>
      <c r="D1273">
        <v>43</v>
      </c>
    </row>
    <row r="1274" spans="1:4" x14ac:dyDescent="0.25">
      <c r="A1274" t="str">
        <f>T("   401220")</f>
        <v xml:space="preserve">   401220</v>
      </c>
      <c r="B1274" t="str">
        <f>T("   Pneumatiques usagés, en caoutchouc")</f>
        <v xml:space="preserve">   Pneumatiques usagés, en caoutchouc</v>
      </c>
      <c r="C1274">
        <v>22299500</v>
      </c>
      <c r="D1274">
        <v>84565</v>
      </c>
    </row>
    <row r="1275" spans="1:4" x14ac:dyDescent="0.25">
      <c r="A1275" t="str">
        <f>T("   401693")</f>
        <v xml:space="preserve">   401693</v>
      </c>
      <c r="B1275" t="str">
        <f>T("   Joints en caoutchouc vulcanisé non durci (à l'excl. des articles en caoutchouc alvéolaire)")</f>
        <v xml:space="preserve">   Joints en caoutchouc vulcanisé non durci (à l'excl. des articles en caoutchouc alvéolaire)</v>
      </c>
      <c r="C1275">
        <v>2533876</v>
      </c>
      <c r="D1275">
        <v>605</v>
      </c>
    </row>
    <row r="1276" spans="1:4" x14ac:dyDescent="0.25">
      <c r="A1276" t="str">
        <f>T("   401699")</f>
        <v xml:space="preserve">   401699</v>
      </c>
      <c r="B1276" t="str">
        <f>T("   OUVRAGES EN CAOUTCHOUC VULCANISÉ NON-DURCI, N.D.A.")</f>
        <v xml:space="preserve">   OUVRAGES EN CAOUTCHOUC VULCANISÉ NON-DURCI, N.D.A.</v>
      </c>
      <c r="C1276">
        <v>1255417</v>
      </c>
      <c r="D1276">
        <v>637</v>
      </c>
    </row>
    <row r="1277" spans="1:4" x14ac:dyDescent="0.25">
      <c r="A1277" t="str">
        <f>T("   420229")</f>
        <v xml:space="preserve">   420229</v>
      </c>
      <c r="B1277" t="str">
        <f>T("   Sacs à main, même à bandoulière, y.c. ceux sans poignée, à surface extérieure en fibre vulcanisée ou en carton, ou recouverts, en totalité ou en majeure partie, de ces mêmes matières ou de papier")</f>
        <v xml:space="preserve">   Sacs à main, même à bandoulière, y.c. ceux sans poignée, à surface extérieure en fibre vulcanisée ou en carton, ou recouverts, en totalité ou en majeure partie, de ces mêmes matières ou de papier</v>
      </c>
      <c r="C1277">
        <v>8407594</v>
      </c>
      <c r="D1277">
        <v>14964</v>
      </c>
    </row>
    <row r="1278" spans="1:4" x14ac:dyDescent="0.25">
      <c r="A1278" t="str">
        <f>T("   420299")</f>
        <v xml:space="preserve">   420299</v>
      </c>
      <c r="B1278" t="s">
        <v>164</v>
      </c>
      <c r="C1278">
        <v>9350925</v>
      </c>
      <c r="D1278">
        <v>112</v>
      </c>
    </row>
    <row r="1279" spans="1:4" x14ac:dyDescent="0.25">
      <c r="A1279" t="str">
        <f>T("   481840")</f>
        <v xml:space="preserve">   481840</v>
      </c>
      <c r="B1279" t="str">
        <f>T("   Serviettes et tampons hygiéniques, couches pour bébés et articles hygiéniques simil., en pâte à papier, papier, ouate de cellulose ou nappes de fibres de cellulose")</f>
        <v xml:space="preserve">   Serviettes et tampons hygiéniques, couches pour bébés et articles hygiéniques simil., en pâte à papier, papier, ouate de cellulose ou nappes de fibres de cellulose</v>
      </c>
      <c r="C1279">
        <v>200000</v>
      </c>
      <c r="D1279">
        <v>250</v>
      </c>
    </row>
    <row r="1280" spans="1:4" x14ac:dyDescent="0.25">
      <c r="A1280" t="str">
        <f>T("   482190")</f>
        <v xml:space="preserve">   482190</v>
      </c>
      <c r="B1280" t="str">
        <f>T("   ÉTIQUETTES DE TOUS GENRES, EN PAPIER OU EN CARTON, NON-IMPRIMÉES")</f>
        <v xml:space="preserve">   ÉTIQUETTES DE TOUS GENRES, EN PAPIER OU EN CARTON, NON-IMPRIMÉES</v>
      </c>
      <c r="C1280">
        <v>106553</v>
      </c>
      <c r="D1280">
        <v>5</v>
      </c>
    </row>
    <row r="1281" spans="1:4" x14ac:dyDescent="0.25">
      <c r="A1281" t="str">
        <f>T("   490199")</f>
        <v xml:space="preserve">   490199</v>
      </c>
      <c r="B1281"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1281">
        <v>359839</v>
      </c>
      <c r="D1281">
        <v>510</v>
      </c>
    </row>
    <row r="1282" spans="1:4" x14ac:dyDescent="0.25">
      <c r="A1282" t="str">
        <f>T("   491110")</f>
        <v xml:space="preserve">   491110</v>
      </c>
      <c r="B1282" t="str">
        <f>T("   Imprimés publicitaires, catalogues commerciaux et simil.")</f>
        <v xml:space="preserve">   Imprimés publicitaires, catalogues commerciaux et simil.</v>
      </c>
      <c r="C1282">
        <v>427687</v>
      </c>
      <c r="D1282">
        <v>439</v>
      </c>
    </row>
    <row r="1283" spans="1:4" x14ac:dyDescent="0.25">
      <c r="A1283" t="str">
        <f>T("   491199")</f>
        <v xml:space="preserve">   491199</v>
      </c>
      <c r="B1283" t="str">
        <f>T("   Imprimés, n.d.a.")</f>
        <v xml:space="preserve">   Imprimés, n.d.a.</v>
      </c>
      <c r="C1283">
        <v>90790</v>
      </c>
      <c r="D1283">
        <v>340</v>
      </c>
    </row>
    <row r="1284" spans="1:4" x14ac:dyDescent="0.25">
      <c r="A1284" t="str">
        <f>T("   610469")</f>
        <v xml:space="preserve">   610469</v>
      </c>
      <c r="B1284" t="s">
        <v>261</v>
      </c>
      <c r="C1284">
        <v>1130000</v>
      </c>
      <c r="D1284">
        <v>3200</v>
      </c>
    </row>
    <row r="1285" spans="1:4" x14ac:dyDescent="0.25">
      <c r="A1285" t="str">
        <f>T("   611490")</f>
        <v xml:space="preserve">   611490</v>
      </c>
      <c r="B1285" t="str">
        <f>T("   Vêtements spéciaux destinés à des fins professionnelles, sportives ou autres n.d.a., en bonneterie, de matières textiles (sauf de laine, poils fins, coton, fibres synthétiques ou artificielles)")</f>
        <v xml:space="preserve">   Vêtements spéciaux destinés à des fins professionnelles, sportives ou autres n.d.a., en bonneterie, de matières textiles (sauf de laine, poils fins, coton, fibres synthétiques ou artificielles)</v>
      </c>
      <c r="C1285">
        <v>250000</v>
      </c>
      <c r="D1285">
        <v>500</v>
      </c>
    </row>
    <row r="1286" spans="1:4" x14ac:dyDescent="0.25">
      <c r="A1286" t="str">
        <f>T("   620319")</f>
        <v xml:space="preserve">   620319</v>
      </c>
      <c r="B1286" t="s">
        <v>267</v>
      </c>
      <c r="C1286">
        <v>50000</v>
      </c>
      <c r="D1286">
        <v>50</v>
      </c>
    </row>
    <row r="1287" spans="1:4" x14ac:dyDescent="0.25">
      <c r="A1287" t="str">
        <f>T("   620590")</f>
        <v xml:space="preserve">   620590</v>
      </c>
      <c r="B1287"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1287">
        <v>900000</v>
      </c>
      <c r="D1287">
        <v>1500</v>
      </c>
    </row>
    <row r="1288" spans="1:4" x14ac:dyDescent="0.25">
      <c r="A1288" t="str">
        <f>T("   620630")</f>
        <v xml:space="preserve">   620630</v>
      </c>
      <c r="B1288" t="str">
        <f>T("   Chemisiers, blouses, blouses-chemisiers et chemisettes, de coton, pour femmes ou fillettes (autres qu'en bonneterie et sauf gilets de corps et chemises de jour)")</f>
        <v xml:space="preserve">   Chemisiers, blouses, blouses-chemisiers et chemisettes, de coton, pour femmes ou fillettes (autres qu'en bonneterie et sauf gilets de corps et chemises de jour)</v>
      </c>
      <c r="C1288">
        <v>3936</v>
      </c>
      <c r="D1288">
        <v>3</v>
      </c>
    </row>
    <row r="1289" spans="1:4" x14ac:dyDescent="0.25">
      <c r="A1289" t="str">
        <f>T("   620729")</f>
        <v xml:space="preserve">   620729</v>
      </c>
      <c r="B1289" t="str">
        <f>T("   CHEMISES DE NUIT ET PYJAMAS, DE MATIÈRES TEXTILES, POUR HOMMES OU GARÇONNETS (AUTRES QUE DE COTON, FIBRES SYNTHÉTIQUES OU ARTIFICIELLES, AUTRES QU'EN BONNETERIE ET SAUF GILETS DE CORPS ET SLIPS ET CALETHONS)")</f>
        <v xml:space="preserve">   CHEMISES DE NUIT ET PYJAMAS, DE MATIÈRES TEXTILES, POUR HOMMES OU GARÇONNETS (AUTRES QUE DE COTON, FIBRES SYNTHÉTIQUES OU ARTIFICIELLES, AUTRES QU'EN BONNETERIE ET SAUF GILETS DE CORPS ET SLIPS ET CALETHONS)</v>
      </c>
      <c r="C1289">
        <v>213508</v>
      </c>
      <c r="D1289">
        <v>5</v>
      </c>
    </row>
    <row r="1290" spans="1:4" x14ac:dyDescent="0.25">
      <c r="A1290" t="str">
        <f>T("   630510")</f>
        <v xml:space="preserve">   630510</v>
      </c>
      <c r="B1290" t="str">
        <f>T("   Sacs et sachets d'emballage de jute ou d'autres fibres textiles libériennes du n° 5303")</f>
        <v xml:space="preserve">   Sacs et sachets d'emballage de jute ou d'autres fibres textiles libériennes du n° 5303</v>
      </c>
      <c r="C1290">
        <v>4738723</v>
      </c>
      <c r="D1290">
        <v>61750</v>
      </c>
    </row>
    <row r="1291" spans="1:4" x14ac:dyDescent="0.25">
      <c r="A1291" t="str">
        <f>T("   630900")</f>
        <v xml:space="preserve">   630900</v>
      </c>
      <c r="B1291" t="s">
        <v>280</v>
      </c>
      <c r="C1291">
        <v>766325774</v>
      </c>
      <c r="D1291">
        <v>1312894.2</v>
      </c>
    </row>
    <row r="1292" spans="1:4" x14ac:dyDescent="0.25">
      <c r="A1292" t="str">
        <f>T("   640590")</f>
        <v xml:space="preserve">   640590</v>
      </c>
      <c r="B1292" t="s">
        <v>290</v>
      </c>
      <c r="C1292">
        <v>556911</v>
      </c>
      <c r="D1292">
        <v>795</v>
      </c>
    </row>
    <row r="1293" spans="1:4" x14ac:dyDescent="0.25">
      <c r="A1293" t="str">
        <f>T("   700721")</f>
        <v xml:space="preserve">   700721</v>
      </c>
      <c r="B1293" t="s">
        <v>321</v>
      </c>
      <c r="C1293">
        <v>45985</v>
      </c>
      <c r="D1293">
        <v>11</v>
      </c>
    </row>
    <row r="1294" spans="1:4" x14ac:dyDescent="0.25">
      <c r="A1294" t="str">
        <f>T("   721041")</f>
        <v xml:space="preserve">   721041</v>
      </c>
      <c r="B1294" t="str">
        <f>T("   Produits laminés plats, en fer ou en aciers non alliés, d'une largeur &gt;= 600 mm, laminés à chaud ou à froid, zingués, ondulés (à l'excl. des produits zingués électrolytiquement)")</f>
        <v xml:space="preserve">   Produits laminés plats, en fer ou en aciers non alliés, d'une largeur &gt;= 600 mm, laminés à chaud ou à froid, zingués, ondulés (à l'excl. des produits zingués électrolytiquement)</v>
      </c>
      <c r="C1294">
        <v>200000</v>
      </c>
      <c r="D1294">
        <v>25</v>
      </c>
    </row>
    <row r="1295" spans="1:4" x14ac:dyDescent="0.25">
      <c r="A1295" t="str">
        <f>T("   721210")</f>
        <v xml:space="preserve">   721210</v>
      </c>
      <c r="B1295" t="str">
        <f>T("   PRODUITS LAMINÉS PLATS, EN FER OU EN ACIERS NON-ALLIÉS, D'UNE LARGEUR &lt; 600 MM, LAMINÉS À CHAUD OU À FROID, ÉTAMÉS")</f>
        <v xml:space="preserve">   PRODUITS LAMINÉS PLATS, EN FER OU EN ACIERS NON-ALLIÉS, D'UNE LARGEUR &lt; 600 MM, LAMINÉS À CHAUD OU À FROID, ÉTAMÉS</v>
      </c>
      <c r="C1295">
        <v>17484771</v>
      </c>
      <c r="D1295">
        <v>51062</v>
      </c>
    </row>
    <row r="1296" spans="1:4" x14ac:dyDescent="0.25">
      <c r="A1296" t="str">
        <f>T("   730799")</f>
        <v xml:space="preserve">   730799</v>
      </c>
      <c r="B1296" t="str">
        <f>T("   Accessoires de tuyauterie, en fer ou aciers (autres que moulés ou en aciers inoxydables; sauf brides; coudes, courbes et manchons, filetés et sauf accessoires à souder bout à bout)")</f>
        <v xml:space="preserve">   Accessoires de tuyauterie, en fer ou aciers (autres que moulés ou en aciers inoxydables; sauf brides; coudes, courbes et manchons, filetés et sauf accessoires à souder bout à bout)</v>
      </c>
      <c r="C1296">
        <v>18371987</v>
      </c>
      <c r="D1296">
        <v>4386</v>
      </c>
    </row>
    <row r="1297" spans="1:4" x14ac:dyDescent="0.25">
      <c r="A1297" t="str">
        <f>T("   731815")</f>
        <v xml:space="preserve">   731815</v>
      </c>
      <c r="B1297" t="s">
        <v>354</v>
      </c>
      <c r="C1297">
        <v>2811867</v>
      </c>
      <c r="D1297">
        <v>1427</v>
      </c>
    </row>
    <row r="1298" spans="1:4" x14ac:dyDescent="0.25">
      <c r="A1298" t="str">
        <f>T("   732090")</f>
        <v xml:space="preserve">   732090</v>
      </c>
      <c r="B1298" t="s">
        <v>355</v>
      </c>
      <c r="C1298">
        <v>2808937</v>
      </c>
      <c r="D1298">
        <v>1076</v>
      </c>
    </row>
    <row r="1299" spans="1:4" x14ac:dyDescent="0.25">
      <c r="A1299" t="str">
        <f>T("   732394")</f>
        <v xml:space="preserve">   732394</v>
      </c>
      <c r="B1299" t="s">
        <v>361</v>
      </c>
      <c r="C1299">
        <v>600000</v>
      </c>
      <c r="D1299">
        <v>980</v>
      </c>
    </row>
    <row r="1300" spans="1:4" x14ac:dyDescent="0.25">
      <c r="A1300" t="str">
        <f>T("   760719")</f>
        <v xml:space="preserve">   760719</v>
      </c>
      <c r="B1300" t="str">
        <f>T("   Feuilles et bandes minces d'aluminium, sans support, laminées et autrement traitées, d'une épaisseur &lt;= 0,2 mm (sauf feuilles pour le marquage au fer du n° 3212 et sauf feuilles travaillées pour la décoration des sapins de Noël)")</f>
        <v xml:space="preserve">   Feuilles et bandes minces d'aluminium, sans support, laminées et autrement traitées, d'une épaisseur &lt;= 0,2 mm (sauf feuilles pour le marquage au fer du n° 3212 et sauf feuilles travaillées pour la décoration des sapins de Noël)</v>
      </c>
      <c r="C1300">
        <v>259328</v>
      </c>
      <c r="D1300">
        <v>400</v>
      </c>
    </row>
    <row r="1301" spans="1:4" x14ac:dyDescent="0.25">
      <c r="A1301" t="str">
        <f>T("   820420")</f>
        <v xml:space="preserve">   820420</v>
      </c>
      <c r="B1301" t="str">
        <f>T("   Douilles de serrage interchangeables, même avec manches, en métaux communs")</f>
        <v xml:space="preserve">   Douilles de serrage interchangeables, même avec manches, en métaux communs</v>
      </c>
      <c r="C1301">
        <v>12362813</v>
      </c>
      <c r="D1301">
        <v>4738</v>
      </c>
    </row>
    <row r="1302" spans="1:4" x14ac:dyDescent="0.25">
      <c r="A1302" t="str">
        <f>T("   820520")</f>
        <v xml:space="preserve">   820520</v>
      </c>
      <c r="B1302" t="str">
        <f>T("   Marteaux et masses, avec partie travaillante en métaux communs")</f>
        <v xml:space="preserve">   Marteaux et masses, avec partie travaillante en métaux communs</v>
      </c>
      <c r="C1302">
        <v>4001149</v>
      </c>
      <c r="D1302">
        <v>1534</v>
      </c>
    </row>
    <row r="1303" spans="1:4" x14ac:dyDescent="0.25">
      <c r="A1303" t="str">
        <f>T("   830140")</f>
        <v xml:space="preserve">   830140</v>
      </c>
      <c r="B1303" t="str">
        <f>T("   Serrures et verrous, en métaux communs (autres que cadenas et serrures des types utilisés pour véhicules automobiles ou meubles)")</f>
        <v xml:space="preserve">   Serrures et verrous, en métaux communs (autres que cadenas et serrures des types utilisés pour véhicules automobiles ou meubles)</v>
      </c>
      <c r="C1303">
        <v>9739716</v>
      </c>
      <c r="D1303">
        <v>122</v>
      </c>
    </row>
    <row r="1304" spans="1:4" x14ac:dyDescent="0.25">
      <c r="A1304" t="str">
        <f>T("   841280")</f>
        <v xml:space="preserve">   841280</v>
      </c>
      <c r="B1304" t="str">
        <f>T("   Moteurs et machines motrices (à l'excl. des turbines à vapeur, moteurs à piston, turbines hydrauliques, roues hydrauliques, turbines à gaz, moteurs à réaction, moteurs hydrauliques et oléohydrauliques, moteurs pneumatiques et sauf moteurs électriques)")</f>
        <v xml:space="preserve">   Moteurs et machines motrices (à l'excl. des turbines à vapeur, moteurs à piston, turbines hydrauliques, roues hydrauliques, turbines à gaz, moteurs à réaction, moteurs hydrauliques et oléohydrauliques, moteurs pneumatiques et sauf moteurs électriques)</v>
      </c>
      <c r="C1304">
        <v>26449223</v>
      </c>
      <c r="D1304">
        <v>8124</v>
      </c>
    </row>
    <row r="1305" spans="1:4" x14ac:dyDescent="0.25">
      <c r="A1305" t="str">
        <f>T("   841381")</f>
        <v xml:space="preserve">   841381</v>
      </c>
      <c r="B1305" t="s">
        <v>393</v>
      </c>
      <c r="C1305">
        <v>19175027</v>
      </c>
      <c r="D1305">
        <v>4969</v>
      </c>
    </row>
    <row r="1306" spans="1:4" x14ac:dyDescent="0.25">
      <c r="A1306" t="str">
        <f>T("   841459")</f>
        <v xml:space="preserve">   841459</v>
      </c>
      <c r="B1306" t="str">
        <f>T("   Ventilateurs (sauf ventilateurs de table, de sol, muraux, plafonniers, de toitures ou de fenêtres, à moteur électrique incorporé, d'une puissance &lt;= 125 W)")</f>
        <v xml:space="preserve">   Ventilateurs (sauf ventilateurs de table, de sol, muraux, plafonniers, de toitures ou de fenêtres, à moteur électrique incorporé, d'une puissance &lt;= 125 W)</v>
      </c>
      <c r="C1306">
        <v>371496</v>
      </c>
      <c r="D1306">
        <v>2571</v>
      </c>
    </row>
    <row r="1307" spans="1:4" x14ac:dyDescent="0.25">
      <c r="A1307" t="str">
        <f>T("   841510")</f>
        <v xml:space="preserve">   841510</v>
      </c>
      <c r="B1307" t="s">
        <v>395</v>
      </c>
      <c r="C1307">
        <v>300430</v>
      </c>
      <c r="D1307">
        <v>200</v>
      </c>
    </row>
    <row r="1308" spans="1:4" x14ac:dyDescent="0.25">
      <c r="A1308" t="str">
        <f>T("   841821")</f>
        <v xml:space="preserve">   841821</v>
      </c>
      <c r="B1308" t="str">
        <f>T("   Réfrigérateurs ménagers à compression")</f>
        <v xml:space="preserve">   Réfrigérateurs ménagers à compression</v>
      </c>
      <c r="C1308">
        <v>600000</v>
      </c>
      <c r="D1308">
        <v>1079</v>
      </c>
    </row>
    <row r="1309" spans="1:4" x14ac:dyDescent="0.25">
      <c r="A1309" t="str">
        <f>T("   841829")</f>
        <v xml:space="preserve">   841829</v>
      </c>
      <c r="B1309" t="str">
        <f>T("   Réfrigérateurs ménagers à absorption, non-électriques")</f>
        <v xml:space="preserve">   Réfrigérateurs ménagers à absorption, non-électriques</v>
      </c>
      <c r="C1309">
        <v>1075435</v>
      </c>
      <c r="D1309">
        <v>559</v>
      </c>
    </row>
    <row r="1310" spans="1:4" x14ac:dyDescent="0.25">
      <c r="A1310" t="str">
        <f>T("   842641")</f>
        <v xml:space="preserve">   842641</v>
      </c>
      <c r="B1310" t="str">
        <f>T("   Bigues et chariots-grues et autres machines et appareils autopropulsés, sur pneumatiques (à l'excl. des grues automotrices, portiques mobiles se déplaçant sur pneumatiques et sauf chariots-cavaliers)")</f>
        <v xml:space="preserve">   Bigues et chariots-grues et autres machines et appareils autopropulsés, sur pneumatiques (à l'excl. des grues automotrices, portiques mobiles se déplaçant sur pneumatiques et sauf chariots-cavaliers)</v>
      </c>
      <c r="C1310">
        <v>700000</v>
      </c>
      <c r="D1310">
        <v>6000</v>
      </c>
    </row>
    <row r="1311" spans="1:4" x14ac:dyDescent="0.25">
      <c r="A1311" t="str">
        <f>T("   843143")</f>
        <v xml:space="preserve">   843143</v>
      </c>
      <c r="B1311" t="str">
        <f>T("   Parties de machines de sondage ou de forage du n° 8430.41 ou 8430.49, n.d.a.")</f>
        <v xml:space="preserve">   Parties de machines de sondage ou de forage du n° 8430.41 ou 8430.49, n.d.a.</v>
      </c>
      <c r="C1311">
        <v>128014</v>
      </c>
      <c r="D1311">
        <v>104</v>
      </c>
    </row>
    <row r="1312" spans="1:4" x14ac:dyDescent="0.25">
      <c r="A1312" t="str">
        <f>T("   845140")</f>
        <v xml:space="preserve">   845140</v>
      </c>
      <c r="B1312" t="str">
        <f>T("   Machines et appareils pour le lavage, le blanchiment ou la teinture de fils, tissus ou autres ouvrages en matières textiles (sauf machines à laver le linge)")</f>
        <v xml:space="preserve">   Machines et appareils pour le lavage, le blanchiment ou la teinture de fils, tissus ou autres ouvrages en matières textiles (sauf machines à laver le linge)</v>
      </c>
      <c r="C1312">
        <v>450000</v>
      </c>
      <c r="D1312">
        <v>700</v>
      </c>
    </row>
    <row r="1313" spans="1:4" x14ac:dyDescent="0.25">
      <c r="A1313" t="str">
        <f>T("   845939")</f>
        <v xml:space="preserve">   845939</v>
      </c>
      <c r="B1313" t="str">
        <f>T("   Aléseuses-fraiseuses combinées pour métaux, opérant par enlèvement de matières (autres qu'à commande numérique et sauf unités d'usinage à glissières)")</f>
        <v xml:space="preserve">   Aléseuses-fraiseuses combinées pour métaux, opérant par enlèvement de matières (autres qu'à commande numérique et sauf unités d'usinage à glissières)</v>
      </c>
      <c r="C1313">
        <v>3213011</v>
      </c>
      <c r="D1313">
        <v>767</v>
      </c>
    </row>
    <row r="1314" spans="1:4" x14ac:dyDescent="0.25">
      <c r="A1314" t="str">
        <f>T("   846880")</f>
        <v xml:space="preserve">   846880</v>
      </c>
      <c r="B1314" t="str">
        <f>T("   Machines et appareils pour le brasage ou le soudage (autres qu'aux gaz et à l'excl. des machines ou appareils pour le brasage ou le soudage électriques du n° 8515)")</f>
        <v xml:space="preserve">   Machines et appareils pour le brasage ou le soudage (autres qu'aux gaz et à l'excl. des machines ou appareils pour le brasage ou le soudage électriques du n° 8515)</v>
      </c>
      <c r="C1314">
        <v>3122536</v>
      </c>
      <c r="D1314">
        <v>1322</v>
      </c>
    </row>
    <row r="1315" spans="1:4" x14ac:dyDescent="0.25">
      <c r="A1315" t="str">
        <f>T("   847141")</f>
        <v xml:space="preserve">   847141</v>
      </c>
      <c r="B1315" t="s">
        <v>433</v>
      </c>
      <c r="C1315">
        <v>548860</v>
      </c>
      <c r="D1315">
        <v>17.64</v>
      </c>
    </row>
    <row r="1316" spans="1:4" x14ac:dyDescent="0.25">
      <c r="A1316" t="str">
        <f>T("   847190")</f>
        <v xml:space="preserve">   847190</v>
      </c>
      <c r="B1316"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1316">
        <v>15575814</v>
      </c>
      <c r="D1316">
        <v>449</v>
      </c>
    </row>
    <row r="1317" spans="1:4" x14ac:dyDescent="0.25">
      <c r="A1317" t="str">
        <f>T("   847490")</f>
        <v xml:space="preserve">   847490</v>
      </c>
      <c r="B1317" t="str">
        <f>T("   Parties des machines et appareils pour le travail des matières minérales du n° 8474, n.d.a.")</f>
        <v xml:space="preserve">   Parties des machines et appareils pour le travail des matières minérales du n° 8474, n.d.a.</v>
      </c>
      <c r="C1317">
        <v>80965091</v>
      </c>
      <c r="D1317">
        <v>34302</v>
      </c>
    </row>
    <row r="1318" spans="1:4" x14ac:dyDescent="0.25">
      <c r="A1318" t="str">
        <f>T("   847990")</f>
        <v xml:space="preserve">   847990</v>
      </c>
      <c r="B1318" t="str">
        <f>T("   Parties de machines et appareils, y.c. les appareils mécaniques, n.d.a.")</f>
        <v xml:space="preserve">   Parties de machines et appareils, y.c. les appareils mécaniques, n.d.a.</v>
      </c>
      <c r="C1318">
        <v>3520826</v>
      </c>
      <c r="D1318">
        <v>1259</v>
      </c>
    </row>
    <row r="1319" spans="1:4" x14ac:dyDescent="0.25">
      <c r="A1319" t="str">
        <f>T("   848280")</f>
        <v xml:space="preserve">   848280</v>
      </c>
      <c r="B1319" t="s">
        <v>442</v>
      </c>
      <c r="C1319">
        <v>6117325</v>
      </c>
      <c r="D1319">
        <v>1460</v>
      </c>
    </row>
    <row r="1320" spans="1:4" x14ac:dyDescent="0.25">
      <c r="A1320" t="str">
        <f>T("   850220")</f>
        <v xml:space="preserve">   850220</v>
      </c>
      <c r="B1320" t="s">
        <v>446</v>
      </c>
      <c r="C1320">
        <v>516000</v>
      </c>
      <c r="D1320">
        <v>125</v>
      </c>
    </row>
    <row r="1321" spans="1:4" x14ac:dyDescent="0.25">
      <c r="A1321" t="str">
        <f>T("   850239")</f>
        <v xml:space="preserve">   850239</v>
      </c>
      <c r="B1321" t="str">
        <f>T("   Groupes électrogènes (autres qu'à énergie éolienne et à moteurs à piston)")</f>
        <v xml:space="preserve">   Groupes électrogènes (autres qu'à énergie éolienne et à moteurs à piston)</v>
      </c>
      <c r="C1321">
        <v>250000</v>
      </c>
      <c r="D1321">
        <v>600</v>
      </c>
    </row>
    <row r="1322" spans="1:4" x14ac:dyDescent="0.25">
      <c r="A1322" t="str">
        <f>T("   851780")</f>
        <v xml:space="preserve">   851780</v>
      </c>
      <c r="B1322" t="s">
        <v>453</v>
      </c>
      <c r="C1322">
        <v>5275247</v>
      </c>
      <c r="D1322">
        <v>55</v>
      </c>
    </row>
    <row r="1323" spans="1:4" x14ac:dyDescent="0.25">
      <c r="A1323" t="str">
        <f>T("   851829")</f>
        <v xml:space="preserve">   851829</v>
      </c>
      <c r="B1323" t="str">
        <f>T("   Haut-parleurs sans enceinte")</f>
        <v xml:space="preserve">   Haut-parleurs sans enceinte</v>
      </c>
      <c r="C1323">
        <v>347529</v>
      </c>
      <c r="D1323">
        <v>2167</v>
      </c>
    </row>
    <row r="1324" spans="1:4" x14ac:dyDescent="0.25">
      <c r="A1324" t="str">
        <f>T("   852719")</f>
        <v xml:space="preserve">   852719</v>
      </c>
      <c r="B1324" t="str">
        <f>T("   Récepteurs de radiodiffusion pouvant fonctionner sans source d'énergie extérieure, y.c. les appareils recevant également la radiotéléphonie ou la radiotélégraphie, non combinés à un appareil d'enregistrement et de reproduction du son")</f>
        <v xml:space="preserve">   Récepteurs de radiodiffusion pouvant fonctionner sans source d'énergie extérieure, y.c. les appareils recevant également la radiotéléphonie ou la radiotélégraphie, non combinés à un appareil d'enregistrement et de reproduction du son</v>
      </c>
      <c r="C1324">
        <v>371497</v>
      </c>
      <c r="D1324">
        <v>2167</v>
      </c>
    </row>
    <row r="1325" spans="1:4" x14ac:dyDescent="0.25">
      <c r="A1325" t="str">
        <f>T("   852812")</f>
        <v xml:space="preserve">   852812</v>
      </c>
      <c r="B1325"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1325">
        <v>80000</v>
      </c>
      <c r="D1325">
        <v>23</v>
      </c>
    </row>
    <row r="1326" spans="1:4" x14ac:dyDescent="0.25">
      <c r="A1326" t="str">
        <f>T("   853929")</f>
        <v xml:space="preserve">   853929</v>
      </c>
      <c r="B1326" t="str">
        <f>T("   Lampes et tubes à incandescence électriques (autres que lampes et tubes halogènes, au tungstène, lampes d'une puissance &lt;= 200 W et pour une tension &gt; 100 V, et lampes à rayons ultraviolets ou infrarouges)")</f>
        <v xml:space="preserve">   Lampes et tubes à incandescence électriques (autres que lampes et tubes halogènes, au tungstène, lampes d'une puissance &lt;= 200 W et pour une tension &gt; 100 V, et lampes à rayons ultraviolets ou infrarouges)</v>
      </c>
      <c r="C1326">
        <v>983100</v>
      </c>
      <c r="D1326">
        <v>732</v>
      </c>
    </row>
    <row r="1327" spans="1:4" x14ac:dyDescent="0.25">
      <c r="A1327" t="str">
        <f>T("   870120")</f>
        <v xml:space="preserve">   870120</v>
      </c>
      <c r="B1327" t="str">
        <f>T("   Tracteurs routiers pour semi-remorques")</f>
        <v xml:space="preserve">   Tracteurs routiers pour semi-remorques</v>
      </c>
      <c r="C1327">
        <v>4047933</v>
      </c>
      <c r="D1327">
        <v>10273</v>
      </c>
    </row>
    <row r="1328" spans="1:4" x14ac:dyDescent="0.25">
      <c r="A1328" t="str">
        <f>T("   870322")</f>
        <v xml:space="preserve">   870322</v>
      </c>
      <c r="B1328" t="s">
        <v>475</v>
      </c>
      <c r="C1328">
        <v>85650890</v>
      </c>
      <c r="D1328">
        <v>58363</v>
      </c>
    </row>
    <row r="1329" spans="1:4" x14ac:dyDescent="0.25">
      <c r="A1329" t="str">
        <f>T("   870323")</f>
        <v xml:space="preserve">   870323</v>
      </c>
      <c r="B1329" t="s">
        <v>476</v>
      </c>
      <c r="C1329">
        <v>15153514</v>
      </c>
      <c r="D1329">
        <v>11541</v>
      </c>
    </row>
    <row r="1330" spans="1:4" x14ac:dyDescent="0.25">
      <c r="A1330" t="str">
        <f>T("   870324")</f>
        <v xml:space="preserve">   870324</v>
      </c>
      <c r="B1330" t="s">
        <v>477</v>
      </c>
      <c r="C1330">
        <v>3207238</v>
      </c>
      <c r="D1330">
        <v>2973</v>
      </c>
    </row>
    <row r="1331" spans="1:4" x14ac:dyDescent="0.25">
      <c r="A1331" t="str">
        <f>T("   870421")</f>
        <v xml:space="preserve">   870421</v>
      </c>
      <c r="B1331" t="s">
        <v>481</v>
      </c>
      <c r="C1331">
        <v>5847656</v>
      </c>
      <c r="D1331">
        <v>1300</v>
      </c>
    </row>
    <row r="1332" spans="1:4" x14ac:dyDescent="0.25">
      <c r="A1332" t="str">
        <f>T("   870431")</f>
        <v xml:space="preserve">   870431</v>
      </c>
      <c r="B1332" t="s">
        <v>484</v>
      </c>
      <c r="C1332">
        <v>2484976</v>
      </c>
      <c r="D1332">
        <v>1200</v>
      </c>
    </row>
    <row r="1333" spans="1:4" x14ac:dyDescent="0.25">
      <c r="A1333" t="str">
        <f>T("   870829")</f>
        <v xml:space="preserve">   870829</v>
      </c>
      <c r="B1333" t="s">
        <v>488</v>
      </c>
      <c r="C1333">
        <v>52478192</v>
      </c>
      <c r="D1333">
        <v>15700</v>
      </c>
    </row>
    <row r="1334" spans="1:4" x14ac:dyDescent="0.25">
      <c r="A1334" t="str">
        <f>T("   870899")</f>
        <v xml:space="preserve">   870899</v>
      </c>
      <c r="B1334"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1334">
        <v>33286016</v>
      </c>
      <c r="D1334">
        <v>69410</v>
      </c>
    </row>
    <row r="1335" spans="1:4" x14ac:dyDescent="0.25">
      <c r="A1335" t="str">
        <f>T("   870919")</f>
        <v xml:space="preserve">   870919</v>
      </c>
      <c r="B1335" t="str">
        <f>T("   CHARIOTS AUTOMOBILES NON-ÉLECTRIQUES, NON-MUNIS D'UN DISPOSITIF DE LEVAGE, DES TYPES UTILISÉS POUR LE TRANSPORT DES MARCHANDISES SUR DE COURTES DISTANCES, Y.C. LES CHARIOTS-TRACTEURS DES TYPES UTILISÉS DANS LES GARES")</f>
        <v xml:space="preserve">   CHARIOTS AUTOMOBILES NON-ÉLECTRIQUES, NON-MUNIS D'UN DISPOSITIF DE LEVAGE, DES TYPES UTILISÉS POUR LE TRANSPORT DES MARCHANDISES SUR DE COURTES DISTANCES, Y.C. LES CHARIOTS-TRACTEURS DES TYPES UTILISÉS DANS LES GARES</v>
      </c>
      <c r="C1335">
        <v>150000</v>
      </c>
      <c r="D1335">
        <v>500</v>
      </c>
    </row>
    <row r="1336" spans="1:4" x14ac:dyDescent="0.25">
      <c r="A1336" t="str">
        <f>T("   871200")</f>
        <v xml:space="preserve">   871200</v>
      </c>
      <c r="B1336" t="str">
        <f>T("   BICYCLETTES ET AUTRES CYCLES, -Y.C. LES TRIPORTEURS-, SANS MOTEUR")</f>
        <v xml:space="preserve">   BICYCLETTES ET AUTRES CYCLES, -Y.C. LES TRIPORTEURS-, SANS MOTEUR</v>
      </c>
      <c r="C1336">
        <v>721496</v>
      </c>
      <c r="D1336">
        <v>2317</v>
      </c>
    </row>
    <row r="1337" spans="1:4" x14ac:dyDescent="0.25">
      <c r="A1337" t="str">
        <f>T("   900720")</f>
        <v xml:space="preserve">   900720</v>
      </c>
      <c r="B1337" t="str">
        <f>T("   Projecteurs cinématographiques")</f>
        <v xml:space="preserve">   Projecteurs cinématographiques</v>
      </c>
      <c r="C1337">
        <v>7745610</v>
      </c>
      <c r="D1337">
        <v>76</v>
      </c>
    </row>
    <row r="1338" spans="1:4" x14ac:dyDescent="0.25">
      <c r="A1338" t="str">
        <f>T("   900792")</f>
        <v xml:space="preserve">   900792</v>
      </c>
      <c r="B1338" t="str">
        <f>T("   Parties et accessoires de projecteurs cinématographiques, n.d.a.")</f>
        <v xml:space="preserve">   Parties et accessoires de projecteurs cinématographiques, n.d.a.</v>
      </c>
      <c r="C1338">
        <v>4984336</v>
      </c>
      <c r="D1338">
        <v>45</v>
      </c>
    </row>
    <row r="1339" spans="1:4" x14ac:dyDescent="0.25">
      <c r="A1339" t="str">
        <f>T("   901890")</f>
        <v xml:space="preserve">   901890</v>
      </c>
      <c r="B1339" t="str">
        <f>T("   Instruments et appareils pour la médecine, la chirurgie ou l'art vétérinaire, n.d.a.")</f>
        <v xml:space="preserve">   Instruments et appareils pour la médecine, la chirurgie ou l'art vétérinaire, n.d.a.</v>
      </c>
      <c r="C1339">
        <v>204278</v>
      </c>
      <c r="D1339">
        <v>101</v>
      </c>
    </row>
    <row r="1340" spans="1:4" x14ac:dyDescent="0.25">
      <c r="A1340" t="str">
        <f>T("   902000")</f>
        <v xml:space="preserve">   902000</v>
      </c>
      <c r="B1340" t="str">
        <f>T("   APPAREILS RESPIRATOIRES ET MASQUES À GAZ (À L'EXCL. DES MASQUES DE PROTECTION DÉPOURVUS DE MÉCANISME ET D'ÉLÉMENT FILTRANT AMOVIBLE AINSI QUE DES APPAREILS DE RESPIRATOIRES DE RÉANIMATION ET AUTRES APPAREILS DE THERAPIE RESPIRATOIRE)")</f>
        <v xml:space="preserve">   APPAREILS RESPIRATOIRES ET MASQUES À GAZ (À L'EXCL. DES MASQUES DE PROTECTION DÉPOURVUS DE MÉCANISME ET D'ÉLÉMENT FILTRANT AMOVIBLE AINSI QUE DES APPAREILS DE RESPIRATOIRES DE RÉANIMATION ET AUTRES APPAREILS DE THERAPIE RESPIRATOIRE)</v>
      </c>
      <c r="C1340">
        <v>3107439</v>
      </c>
      <c r="D1340">
        <v>36</v>
      </c>
    </row>
    <row r="1341" spans="1:4" x14ac:dyDescent="0.25">
      <c r="A1341" t="str">
        <f>T("   940330")</f>
        <v xml:space="preserve">   940330</v>
      </c>
      <c r="B1341" t="str">
        <f>T("   Meubles de bureau en bois (sauf sièges)")</f>
        <v xml:space="preserve">   Meubles de bureau en bois (sauf sièges)</v>
      </c>
      <c r="C1341">
        <v>30000</v>
      </c>
      <c r="D1341">
        <v>20</v>
      </c>
    </row>
    <row r="1342" spans="1:4" x14ac:dyDescent="0.25">
      <c r="A1342" t="str">
        <f>T("   940350")</f>
        <v xml:space="preserve">   940350</v>
      </c>
      <c r="B1342" t="str">
        <f>T("   Meubles pour chambres à coucher, en bois (sauf sièges)")</f>
        <v xml:space="preserve">   Meubles pour chambres à coucher, en bois (sauf sièges)</v>
      </c>
      <c r="C1342">
        <v>1500000</v>
      </c>
      <c r="D1342">
        <v>2100</v>
      </c>
    </row>
    <row r="1343" spans="1:4" x14ac:dyDescent="0.25">
      <c r="A1343" t="str">
        <f>T("   940360")</f>
        <v xml:space="preserve">   940360</v>
      </c>
      <c r="B1343" t="str">
        <f>T("   Meubles en bois (autres que pour bureaux, cuisines ou chambres à coucher et autres que sièges)")</f>
        <v xml:space="preserve">   Meubles en bois (autres que pour bureaux, cuisines ou chambres à coucher et autres que sièges)</v>
      </c>
      <c r="C1343">
        <v>325000</v>
      </c>
      <c r="D1343">
        <v>5840</v>
      </c>
    </row>
    <row r="1344" spans="1:4" x14ac:dyDescent="0.25">
      <c r="A1344" t="str">
        <f>T("   940380")</f>
        <v xml:space="preserve">   940380</v>
      </c>
      <c r="B1344" t="str">
        <f>T("   Meubles en rotin, osier, bambou ou autres matières (sauf métal, bois et matières plastiques)")</f>
        <v xml:space="preserve">   Meubles en rotin, osier, bambou ou autres matières (sauf métal, bois et matières plastiques)</v>
      </c>
      <c r="C1344">
        <v>775000</v>
      </c>
      <c r="D1344">
        <v>4211</v>
      </c>
    </row>
    <row r="1345" spans="1:4" x14ac:dyDescent="0.25">
      <c r="A1345" t="str">
        <f>T("   940429")</f>
        <v xml:space="preserve">   940429</v>
      </c>
      <c r="B1345" t="str">
        <f>T("   Matelas à ressorts ou rembourrés, ou garnis intérieurement de matières autres que le caoutchouc alvéolaire ou les matières plastiques alvéolaires (sauf matelas à eau, matelas pneumatiques et oreillers)")</f>
        <v xml:space="preserve">   Matelas à ressorts ou rembourrés, ou garnis intérieurement de matières autres que le caoutchouc alvéolaire ou les matières plastiques alvéolaires (sauf matelas à eau, matelas pneumatiques et oreillers)</v>
      </c>
      <c r="C1345">
        <v>24000</v>
      </c>
      <c r="D1345">
        <v>75</v>
      </c>
    </row>
    <row r="1346" spans="1:4" x14ac:dyDescent="0.25">
      <c r="A1346" t="str">
        <f>T("   940490")</f>
        <v xml:space="preserve">   940490</v>
      </c>
      <c r="B1346" t="s">
        <v>508</v>
      </c>
      <c r="C1346">
        <v>150000</v>
      </c>
      <c r="D1346">
        <v>500</v>
      </c>
    </row>
    <row r="1347" spans="1:4" x14ac:dyDescent="0.25">
      <c r="A1347" t="str">
        <f>T("   950341")</f>
        <v xml:space="preserve">   950341</v>
      </c>
      <c r="B1347" t="str">
        <f>T("   Jouets représentant des animaux ou des créatures non humaines, rembourrés")</f>
        <v xml:space="preserve">   Jouets représentant des animaux ou des créatures non humaines, rembourrés</v>
      </c>
      <c r="C1347">
        <v>2465120</v>
      </c>
      <c r="D1347">
        <v>2831</v>
      </c>
    </row>
    <row r="1348" spans="1:4" x14ac:dyDescent="0.25">
      <c r="A1348" t="str">
        <f>T("   950349")</f>
        <v xml:space="preserve">   950349</v>
      </c>
      <c r="B1348" t="str">
        <f>T("   JOUETS REPRÉSENTANT DES ANIMAUX OU DES CRÉATURES NON-HUMAINES, NON-REMBOURRÉS")</f>
        <v xml:space="preserve">   JOUETS REPRÉSENTANT DES ANIMAUX OU DES CRÉATURES NON-HUMAINES, NON-REMBOURRÉS</v>
      </c>
      <c r="C1348">
        <v>1139600</v>
      </c>
      <c r="D1348">
        <v>1628</v>
      </c>
    </row>
    <row r="1349" spans="1:4" x14ac:dyDescent="0.25">
      <c r="A1349" t="str">
        <f>T("   950390")</f>
        <v xml:space="preserve">   950390</v>
      </c>
      <c r="B1349" t="str">
        <f>T("   Jouets, n.d.a.")</f>
        <v xml:space="preserve">   Jouets, n.d.a.</v>
      </c>
      <c r="C1349">
        <v>3003209</v>
      </c>
      <c r="D1349">
        <v>5154</v>
      </c>
    </row>
    <row r="1350" spans="1:4" x14ac:dyDescent="0.25">
      <c r="A1350" t="str">
        <f>T("   960810")</f>
        <v xml:space="preserve">   960810</v>
      </c>
      <c r="B1350" t="str">
        <f>T("   Stylos et crayons à bille")</f>
        <v xml:space="preserve">   Stylos et crayons à bille</v>
      </c>
      <c r="C1350">
        <v>94458</v>
      </c>
      <c r="D1350">
        <v>97</v>
      </c>
    </row>
    <row r="1351" spans="1:4" x14ac:dyDescent="0.25">
      <c r="A1351" t="str">
        <f>T("   961100")</f>
        <v xml:space="preserve">   961100</v>
      </c>
      <c r="B1351" t="str">
        <f>T("   Dateurs, cachets, numéroteurs, timbres et articles simil., y.c. les appareils pour l'impression d'étiquettes, à main; composteurs et imprimeries comportant des composteurs, à main")</f>
        <v xml:space="preserve">   Dateurs, cachets, numéroteurs, timbres et articles simil., y.c. les appareils pour l'impression d'étiquettes, à main; composteurs et imprimeries comportant des composteurs, à main</v>
      </c>
      <c r="C1351">
        <v>13119</v>
      </c>
      <c r="D1351">
        <v>14</v>
      </c>
    </row>
    <row r="1352" spans="1:4" x14ac:dyDescent="0.25">
      <c r="A1352" t="str">
        <f>T("CD")</f>
        <v>CD</v>
      </c>
      <c r="B1352" t="str">
        <f>T("Congo, République Démocratique")</f>
        <v>Congo, République Démocratique</v>
      </c>
    </row>
    <row r="1353" spans="1:4" x14ac:dyDescent="0.25">
      <c r="A1353" t="str">
        <f>T("   ZZ_Total_Produit_SH6")</f>
        <v xml:space="preserve">   ZZ_Total_Produit_SH6</v>
      </c>
      <c r="B1353" t="str">
        <f>T("   ZZ_Total_Produit_SH6")</f>
        <v xml:space="preserve">   ZZ_Total_Produit_SH6</v>
      </c>
      <c r="C1353">
        <v>11730000</v>
      </c>
      <c r="D1353">
        <v>17079</v>
      </c>
    </row>
    <row r="1354" spans="1:4" x14ac:dyDescent="0.25">
      <c r="A1354" t="str">
        <f>T("   330499")</f>
        <v xml:space="preserve">   330499</v>
      </c>
      <c r="B1354" t="s">
        <v>100</v>
      </c>
      <c r="C1354">
        <v>5230000</v>
      </c>
      <c r="D1354">
        <v>13000</v>
      </c>
    </row>
    <row r="1355" spans="1:4" x14ac:dyDescent="0.25">
      <c r="A1355" t="str">
        <f>T("   620590")</f>
        <v xml:space="preserve">   620590</v>
      </c>
      <c r="B1355"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1355">
        <v>1800000</v>
      </c>
      <c r="D1355">
        <v>1150</v>
      </c>
    </row>
    <row r="1356" spans="1:4" x14ac:dyDescent="0.25">
      <c r="A1356" t="str">
        <f>T("   732394")</f>
        <v xml:space="preserve">   732394</v>
      </c>
      <c r="B1356" t="s">
        <v>361</v>
      </c>
      <c r="C1356">
        <v>1100000</v>
      </c>
      <c r="D1356">
        <v>779</v>
      </c>
    </row>
    <row r="1357" spans="1:4" x14ac:dyDescent="0.25">
      <c r="A1357" t="str">
        <f>T("   940350")</f>
        <v xml:space="preserve">   940350</v>
      </c>
      <c r="B1357" t="str">
        <f>T("   Meubles pour chambres à coucher, en bois (sauf sièges)")</f>
        <v xml:space="preserve">   Meubles pour chambres à coucher, en bois (sauf sièges)</v>
      </c>
      <c r="C1357">
        <v>3600000</v>
      </c>
      <c r="D1357">
        <v>2150</v>
      </c>
    </row>
    <row r="1358" spans="1:4" x14ac:dyDescent="0.25">
      <c r="A1358" t="str">
        <f>T("CG")</f>
        <v>CG</v>
      </c>
      <c r="B1358" t="str">
        <f>T("Congo (Brazzaville)")</f>
        <v>Congo (Brazzaville)</v>
      </c>
    </row>
    <row r="1359" spans="1:4" x14ac:dyDescent="0.25">
      <c r="A1359" t="str">
        <f>T("   ZZ_Total_Produit_SH6")</f>
        <v xml:space="preserve">   ZZ_Total_Produit_SH6</v>
      </c>
      <c r="B1359" t="str">
        <f>T("   ZZ_Total_Produit_SH6")</f>
        <v xml:space="preserve">   ZZ_Total_Produit_SH6</v>
      </c>
      <c r="C1359">
        <v>323310254</v>
      </c>
      <c r="D1359">
        <v>1547339</v>
      </c>
    </row>
    <row r="1360" spans="1:4" x14ac:dyDescent="0.25">
      <c r="A1360" t="str">
        <f>T("   210410")</f>
        <v xml:space="preserve">   210410</v>
      </c>
      <c r="B1360" t="str">
        <f>T("   Préparations pour soupes, potages ou bouillons; soupes, potages ou bouillons préparés")</f>
        <v xml:space="preserve">   Préparations pour soupes, potages ou bouillons; soupes, potages ou bouillons préparés</v>
      </c>
      <c r="C1360">
        <v>8643990</v>
      </c>
      <c r="D1360">
        <v>11078</v>
      </c>
    </row>
    <row r="1361" spans="1:4" x14ac:dyDescent="0.25">
      <c r="A1361" t="str">
        <f>T("   271011")</f>
        <v xml:space="preserve">   271011</v>
      </c>
      <c r="B1361" t="str">
        <f>T("   HUILES LÉGÈRES ET PRÉPARATIONS DE PÉTROLE OU DE MINÉRAUX BITUMINEUX DISTILLANT EN VOLUME, Y.C. LES PERTES, &gt;= 90% À 210°C, D'APRÈS LA MÉTHODE ASTM D 86")</f>
        <v xml:space="preserve">   HUILES LÉGÈRES ET PRÉPARATIONS DE PÉTROLE OU DE MINÉRAUX BITUMINEUX DISTILLANT EN VOLUME, Y.C. LES PERTES, &gt;= 90% À 210°C, D'APRÈS LA MÉTHODE ASTM D 86</v>
      </c>
      <c r="C1361">
        <v>3511095</v>
      </c>
      <c r="D1361">
        <v>10401</v>
      </c>
    </row>
    <row r="1362" spans="1:4" x14ac:dyDescent="0.25">
      <c r="A1362" t="str">
        <f>T("   271113")</f>
        <v xml:space="preserve">   271113</v>
      </c>
      <c r="B1362" t="str">
        <f>T("   Butanes, liquéfiés (à l'excl. des butanes d'une pureté &gt;= 95% en n-butane ou en isobutane)")</f>
        <v xml:space="preserve">   Butanes, liquéfiés (à l'excl. des butanes d'une pureté &gt;= 95% en n-butane ou en isobutane)</v>
      </c>
      <c r="C1362">
        <v>310633369</v>
      </c>
      <c r="D1362">
        <v>1525319</v>
      </c>
    </row>
    <row r="1363" spans="1:4" x14ac:dyDescent="0.25">
      <c r="A1363" t="str">
        <f>T("   491110")</f>
        <v xml:space="preserve">   491110</v>
      </c>
      <c r="B1363" t="str">
        <f>T("   Imprimés publicitaires, catalogues commerciaux et simil.")</f>
        <v xml:space="preserve">   Imprimés publicitaires, catalogues commerciaux et simil.</v>
      </c>
      <c r="C1363">
        <v>145000</v>
      </c>
      <c r="D1363">
        <v>379</v>
      </c>
    </row>
    <row r="1364" spans="1:4" x14ac:dyDescent="0.25">
      <c r="A1364" t="str">
        <f>T("   847190")</f>
        <v xml:space="preserve">   847190</v>
      </c>
      <c r="B1364"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1364">
        <v>206000</v>
      </c>
      <c r="D1364">
        <v>4</v>
      </c>
    </row>
    <row r="1365" spans="1:4" x14ac:dyDescent="0.25">
      <c r="A1365" t="str">
        <f>T("   950890")</f>
        <v xml:space="preserve">   950890</v>
      </c>
      <c r="B1365" t="s">
        <v>511</v>
      </c>
      <c r="C1365">
        <v>170800</v>
      </c>
      <c r="D1365">
        <v>158</v>
      </c>
    </row>
    <row r="1366" spans="1:4" x14ac:dyDescent="0.25">
      <c r="A1366" t="str">
        <f>T("CH")</f>
        <v>CH</v>
      </c>
      <c r="B1366" t="str">
        <f>T("Suisse")</f>
        <v>Suisse</v>
      </c>
    </row>
    <row r="1367" spans="1:4" x14ac:dyDescent="0.25">
      <c r="A1367" t="str">
        <f>T("   ZZ_Total_Produit_SH6")</f>
        <v xml:space="preserve">   ZZ_Total_Produit_SH6</v>
      </c>
      <c r="B1367" t="str">
        <f>T("   ZZ_Total_Produit_SH6")</f>
        <v xml:space="preserve">   ZZ_Total_Produit_SH6</v>
      </c>
      <c r="C1367">
        <v>27637262853.772999</v>
      </c>
      <c r="D1367">
        <v>80161102</v>
      </c>
    </row>
    <row r="1368" spans="1:4" x14ac:dyDescent="0.25">
      <c r="A1368" t="str">
        <f>T("   020629")</f>
        <v xml:space="preserve">   020629</v>
      </c>
      <c r="B1368" t="str">
        <f>T("   Abats comestibles de bovins, congelés (à l'excl. des langues et des foies)")</f>
        <v xml:space="preserve">   Abats comestibles de bovins, congelés (à l'excl. des langues et des foies)</v>
      </c>
      <c r="C1368">
        <v>31100000</v>
      </c>
      <c r="D1368">
        <v>50000</v>
      </c>
    </row>
    <row r="1369" spans="1:4" x14ac:dyDescent="0.25">
      <c r="A1369" t="str">
        <f>T("   020712")</f>
        <v xml:space="preserve">   020712</v>
      </c>
      <c r="B1369" t="str">
        <f>T("   COQS ET POULES [DES ESPÈCES DOMESTIQUES], NON-DÉCOUPÉS EN MORCEAUX, CONGELÉS")</f>
        <v xml:space="preserve">   COQS ET POULES [DES ESPÈCES DOMESTIQUES], NON-DÉCOUPÉS EN MORCEAUX, CONGELÉS</v>
      </c>
      <c r="C1369">
        <v>273058089</v>
      </c>
      <c r="D1369">
        <v>439000</v>
      </c>
    </row>
    <row r="1370" spans="1:4" x14ac:dyDescent="0.25">
      <c r="A1370" t="str">
        <f>T("   020727")</f>
        <v xml:space="preserve">   020727</v>
      </c>
      <c r="B1370" t="str">
        <f>T("   Morceaux et abats comestibles de dindes et dindons [des espèces domestiques], congelés")</f>
        <v xml:space="preserve">   Morceaux et abats comestibles de dindes et dindons [des espèces domestiques], congelés</v>
      </c>
      <c r="C1370">
        <v>15550000</v>
      </c>
      <c r="D1370">
        <v>25000</v>
      </c>
    </row>
    <row r="1371" spans="1:4" x14ac:dyDescent="0.25">
      <c r="A1371" t="str">
        <f>T("   030371")</f>
        <v xml:space="preserve">   030371</v>
      </c>
      <c r="B1371" t="str">
        <f>T("   Sardines [Sardina pilchardus, Sardinops spp.], sardinelles [Sardinella spp.], sprats ou esprots [Sprattus sprattus], congelés")</f>
        <v xml:space="preserve">   Sardines [Sardina pilchardus, Sardinops spp.], sardinelles [Sardinella spp.], sprats ou esprots [Sprattus sprattus], congelés</v>
      </c>
      <c r="C1371">
        <v>140179500</v>
      </c>
      <c r="D1371">
        <v>654371</v>
      </c>
    </row>
    <row r="1372" spans="1:4" x14ac:dyDescent="0.25">
      <c r="A1372" t="str">
        <f>T("   030379")</f>
        <v xml:space="preserve">   030379</v>
      </c>
      <c r="B1372" t="s">
        <v>15</v>
      </c>
      <c r="C1372">
        <v>489008314</v>
      </c>
      <c r="D1372">
        <v>2181308</v>
      </c>
    </row>
    <row r="1373" spans="1:4" x14ac:dyDescent="0.25">
      <c r="A1373" t="str">
        <f>T("   040210")</f>
        <v xml:space="preserve">   040210</v>
      </c>
      <c r="B1373" t="str">
        <f>T("   Lait et crème de lait, en poudre, en granulés ou sous d'autres formes solides, d'une teneur en poids de matières grasses &lt;= 1,5%")</f>
        <v xml:space="preserve">   Lait et crème de lait, en poudre, en granulés ou sous d'autres formes solides, d'une teneur en poids de matières grasses &lt;= 1,5%</v>
      </c>
      <c r="C1373">
        <v>78903971</v>
      </c>
      <c r="D1373">
        <v>27846</v>
      </c>
    </row>
    <row r="1374" spans="1:4" x14ac:dyDescent="0.25">
      <c r="A1374" t="str">
        <f>T("   040299")</f>
        <v xml:space="preserve">   040299</v>
      </c>
      <c r="B1374" t="str">
        <f>T("   Lait et crème de lait, concentrés, additionnés de sucre ou d'autres édulcorants (à l'excl. des laits et crèmes de lait en poudre, en granulés ou sous d'autres formes solides)")</f>
        <v xml:space="preserve">   Lait et crème de lait, concentrés, additionnés de sucre ou d'autres édulcorants (à l'excl. des laits et crèmes de lait en poudre, en granulés ou sous d'autres formes solides)</v>
      </c>
      <c r="C1374">
        <v>71110656</v>
      </c>
      <c r="D1374">
        <v>96000</v>
      </c>
    </row>
    <row r="1375" spans="1:4" x14ac:dyDescent="0.25">
      <c r="A1375" t="str">
        <f>T("   100630")</f>
        <v xml:space="preserve">   100630</v>
      </c>
      <c r="B1375" t="str">
        <f>T("   Riz semi-blanchi ou blanchi, même poli ou glacé")</f>
        <v xml:space="preserve">   Riz semi-blanchi ou blanchi, même poli ou glacé</v>
      </c>
      <c r="C1375">
        <v>10331770057.027</v>
      </c>
      <c r="D1375">
        <v>36571220</v>
      </c>
    </row>
    <row r="1376" spans="1:4" x14ac:dyDescent="0.25">
      <c r="A1376" t="str">
        <f>T("   100640")</f>
        <v xml:space="preserve">   100640</v>
      </c>
      <c r="B1376" t="str">
        <f>T("   Riz en brisures")</f>
        <v xml:space="preserve">   Riz en brisures</v>
      </c>
      <c r="C1376">
        <v>185008272</v>
      </c>
      <c r="D1376">
        <v>600000</v>
      </c>
    </row>
    <row r="1377" spans="1:4" x14ac:dyDescent="0.25">
      <c r="A1377" t="str">
        <f>T("   130213")</f>
        <v xml:space="preserve">   130213</v>
      </c>
      <c r="B1377" t="str">
        <f>T("   Extraits de houblon")</f>
        <v xml:space="preserve">   Extraits de houblon</v>
      </c>
      <c r="C1377">
        <v>20622064</v>
      </c>
      <c r="D1377">
        <v>1052</v>
      </c>
    </row>
    <row r="1378" spans="1:4" x14ac:dyDescent="0.25">
      <c r="A1378" t="str">
        <f>T("   151190")</f>
        <v xml:space="preserve">   151190</v>
      </c>
      <c r="B1378" t="str">
        <f>T("   Huile de palme et ses fractions, même raffinées, mais non chimiquement modifiées (à l'excl. de l'huile de palme brute)")</f>
        <v xml:space="preserve">   Huile de palme et ses fractions, même raffinées, mais non chimiquement modifiées (à l'excl. de l'huile de palme brute)</v>
      </c>
      <c r="C1378">
        <v>179728579.74599999</v>
      </c>
      <c r="D1378">
        <v>474412</v>
      </c>
    </row>
    <row r="1379" spans="1:4" x14ac:dyDescent="0.25">
      <c r="A1379" t="str">
        <f>T("   151219")</f>
        <v xml:space="preserve">   151219</v>
      </c>
      <c r="B1379" t="str">
        <f>T("   Huiles de tournesol ou de carthame et leurs fractions, même raffinées, mais non chimiquement modifiées (à l'excl. des huiles brutes)")</f>
        <v xml:space="preserve">   Huiles de tournesol ou de carthame et leurs fractions, même raffinées, mais non chimiquement modifiées (à l'excl. des huiles brutes)</v>
      </c>
      <c r="C1379">
        <v>28027000</v>
      </c>
      <c r="D1379">
        <v>112108</v>
      </c>
    </row>
    <row r="1380" spans="1:4" x14ac:dyDescent="0.25">
      <c r="A1380" t="str">
        <f>T("   170191")</f>
        <v xml:space="preserve">   170191</v>
      </c>
      <c r="B1380" t="str">
        <f>T("   Sucres de canne ou de betterave, à l'état solide, additionnés d'aromatisants ou de colorants")</f>
        <v xml:space="preserve">   Sucres de canne ou de betterave, à l'état solide, additionnés d'aromatisants ou de colorants</v>
      </c>
      <c r="C1380">
        <v>25200000</v>
      </c>
      <c r="D1380">
        <v>210000</v>
      </c>
    </row>
    <row r="1381" spans="1:4" x14ac:dyDescent="0.25">
      <c r="A1381" t="str">
        <f>T("   190190")</f>
        <v xml:space="preserve">   190190</v>
      </c>
      <c r="B1381" t="s">
        <v>48</v>
      </c>
      <c r="C1381">
        <v>86586720</v>
      </c>
      <c r="D1381">
        <v>152400</v>
      </c>
    </row>
    <row r="1382" spans="1:4" x14ac:dyDescent="0.25">
      <c r="A1382" t="str">
        <f>T("   200290")</f>
        <v xml:space="preserve">   200290</v>
      </c>
      <c r="B1382" t="str">
        <f>T("   Tomates, préparées ou conservées autrement qu'au vinaigre ou à l'acide acétique (à l'excl. des tomates entières ou en morceaux)")</f>
        <v xml:space="preserve">   Tomates, préparées ou conservées autrement qu'au vinaigre ou à l'acide acétique (à l'excl. des tomates entières ou en morceaux)</v>
      </c>
      <c r="C1382">
        <v>216890072</v>
      </c>
      <c r="D1382">
        <v>543938</v>
      </c>
    </row>
    <row r="1383" spans="1:4" x14ac:dyDescent="0.25">
      <c r="A1383" t="str">
        <f>T("   220710")</f>
        <v xml:space="preserve">   220710</v>
      </c>
      <c r="B1383" t="str">
        <f>T("   Alcool éthylique non dénaturé d'un titre alcoométrique volumique &gt;= 80% vol")</f>
        <v xml:space="preserve">   Alcool éthylique non dénaturé d'un titre alcoométrique volumique &gt;= 80% vol</v>
      </c>
      <c r="C1383">
        <v>680591</v>
      </c>
      <c r="D1383">
        <v>26</v>
      </c>
    </row>
    <row r="1384" spans="1:4" x14ac:dyDescent="0.25">
      <c r="A1384" t="str">
        <f>T("   271011")</f>
        <v xml:space="preserve">   271011</v>
      </c>
      <c r="B1384" t="str">
        <f>T("   HUILES LÉGÈRES ET PRÉPARATIONS DE PÉTROLE OU DE MINÉRAUX BITUMINEUX DISTILLANT EN VOLUME, Y.C. LES PERTES, &gt;= 90% À 210°C, D'APRÈS LA MÉTHODE ASTM D 86")</f>
        <v xml:space="preserve">   HUILES LÉGÈRES ET PRÉPARATIONS DE PÉTROLE OU DE MINÉRAUX BITUMINEUX DISTILLANT EN VOLUME, Y.C. LES PERTES, &gt;= 90% À 210°C, D'APRÈS LA MÉTHODE ASTM D 86</v>
      </c>
      <c r="C1384">
        <v>995696875</v>
      </c>
      <c r="D1384">
        <v>2917158</v>
      </c>
    </row>
    <row r="1385" spans="1:4" x14ac:dyDescent="0.25">
      <c r="A1385" t="str">
        <f>T("   271019")</f>
        <v xml:space="preserve">   271019</v>
      </c>
      <c r="B1385" t="str">
        <f>T("   Huiles moyennes et préparations, de pétrole ou de minéraux bitumineux, n.d.a.")</f>
        <v xml:space="preserve">   Huiles moyennes et préparations, de pétrole ou de minéraux bitumineux, n.d.a.</v>
      </c>
      <c r="C1385">
        <v>1895754094</v>
      </c>
      <c r="D1385">
        <v>7630679</v>
      </c>
    </row>
    <row r="1386" spans="1:4" x14ac:dyDescent="0.25">
      <c r="A1386" t="str">
        <f>T("   271113")</f>
        <v xml:space="preserve">   271113</v>
      </c>
      <c r="B1386" t="str">
        <f>T("   Butanes, liquéfiés (à l'excl. des butanes d'une pureté &gt;= 95% en n-butane ou en isobutane)")</f>
        <v xml:space="preserve">   Butanes, liquéfiés (à l'excl. des butanes d'une pureté &gt;= 95% en n-butane ou en isobutane)</v>
      </c>
      <c r="C1386">
        <v>117196096</v>
      </c>
      <c r="D1386">
        <v>304763</v>
      </c>
    </row>
    <row r="1387" spans="1:4" x14ac:dyDescent="0.25">
      <c r="A1387" t="str">
        <f>T("   271320")</f>
        <v xml:space="preserve">   271320</v>
      </c>
      <c r="B1387" t="str">
        <f>T("   Bitume de pétrole")</f>
        <v xml:space="preserve">   Bitume de pétrole</v>
      </c>
      <c r="C1387">
        <v>51247689</v>
      </c>
      <c r="D1387">
        <v>117660</v>
      </c>
    </row>
    <row r="1388" spans="1:4" x14ac:dyDescent="0.25">
      <c r="A1388" t="str">
        <f>T("   282720")</f>
        <v xml:space="preserve">   282720</v>
      </c>
      <c r="B1388" t="str">
        <f>T("   Chlorure de calcium")</f>
        <v xml:space="preserve">   Chlorure de calcium</v>
      </c>
      <c r="C1388">
        <v>1509154</v>
      </c>
      <c r="D1388">
        <v>2140</v>
      </c>
    </row>
    <row r="1389" spans="1:4" x14ac:dyDescent="0.25">
      <c r="A1389" t="str">
        <f>T("   283326")</f>
        <v xml:space="preserve">   283326</v>
      </c>
      <c r="B1389" t="str">
        <f>T("   SULFATE DE ZINC")</f>
        <v xml:space="preserve">   SULFATE DE ZINC</v>
      </c>
      <c r="C1389">
        <v>88253</v>
      </c>
      <c r="D1389">
        <v>14</v>
      </c>
    </row>
    <row r="1390" spans="1:4" x14ac:dyDescent="0.25">
      <c r="A1390" t="str">
        <f>T("   292910")</f>
        <v xml:space="preserve">   292910</v>
      </c>
      <c r="B1390" t="str">
        <f>T("   Isocyanates")</f>
        <v xml:space="preserve">   Isocyanates</v>
      </c>
      <c r="C1390">
        <v>193843398</v>
      </c>
      <c r="D1390">
        <v>140000</v>
      </c>
    </row>
    <row r="1391" spans="1:4" x14ac:dyDescent="0.25">
      <c r="A1391" t="str">
        <f>T("   293627")</f>
        <v xml:space="preserve">   293627</v>
      </c>
      <c r="B1391" t="str">
        <f>T("   Vitamine C et ses dérivés utilisés principalement en tant que vitamines")</f>
        <v xml:space="preserve">   Vitamine C et ses dérivés utilisés principalement en tant que vitamines</v>
      </c>
      <c r="C1391">
        <v>6494627</v>
      </c>
      <c r="D1391">
        <v>564</v>
      </c>
    </row>
    <row r="1392" spans="1:4" x14ac:dyDescent="0.25">
      <c r="A1392" t="str">
        <f>T("   300410")</f>
        <v xml:space="preserve">   300410</v>
      </c>
      <c r="B1392" t="s">
        <v>74</v>
      </c>
      <c r="C1392">
        <v>121815</v>
      </c>
      <c r="D1392">
        <v>305</v>
      </c>
    </row>
    <row r="1393" spans="1:4" x14ac:dyDescent="0.25">
      <c r="A1393" t="str">
        <f>T("   300490")</f>
        <v xml:space="preserve">   300490</v>
      </c>
      <c r="B1393" t="s">
        <v>78</v>
      </c>
      <c r="C1393">
        <v>18367</v>
      </c>
      <c r="D1393">
        <v>31</v>
      </c>
    </row>
    <row r="1394" spans="1:4" x14ac:dyDescent="0.25">
      <c r="A1394" t="str">
        <f>T("   321519")</f>
        <v xml:space="preserve">   321519</v>
      </c>
      <c r="B1394" t="str">
        <f>T("   Encres d'imprimerie, même concentrées ou sous formes solides (à l'excl. des encres noires)")</f>
        <v xml:space="preserve">   Encres d'imprimerie, même concentrées ou sous formes solides (à l'excl. des encres noires)</v>
      </c>
      <c r="C1394">
        <v>5680613</v>
      </c>
      <c r="D1394">
        <v>1388</v>
      </c>
    </row>
    <row r="1395" spans="1:4" x14ac:dyDescent="0.25">
      <c r="A1395" t="str">
        <f>T("   330210")</f>
        <v xml:space="preserve">   330210</v>
      </c>
      <c r="B1395" t="str">
        <f>T("   Mélanges de substances odoriférantes et mélanges, y.c. les solutions alcooliques, à base d'une ou de plusieurs de ces substances, des types utilisés comme matières de base pour les industries des produits alimentaires et des boissons")</f>
        <v xml:space="preserve">   Mélanges de substances odoriférantes et mélanges, y.c. les solutions alcooliques, à base d'une ou de plusieurs de ces substances, des types utilisés comme matières de base pour les industries des produits alimentaires et des boissons</v>
      </c>
      <c r="C1395">
        <v>7557538</v>
      </c>
      <c r="D1395">
        <v>2634</v>
      </c>
    </row>
    <row r="1396" spans="1:4" x14ac:dyDescent="0.25">
      <c r="A1396" t="str">
        <f>T("   330290")</f>
        <v xml:space="preserve">   330290</v>
      </c>
      <c r="B1396" t="s">
        <v>99</v>
      </c>
      <c r="C1396">
        <v>2349649</v>
      </c>
      <c r="D1396">
        <v>1090</v>
      </c>
    </row>
    <row r="1397" spans="1:4" x14ac:dyDescent="0.25">
      <c r="A1397" t="str">
        <f>T("   340213")</f>
        <v xml:space="preserve">   340213</v>
      </c>
      <c r="B1397" t="str">
        <f>T("   Agents de surface organiques, non ioniques, même conditionnés pour la vente au détail (à l'excl. des savons)")</f>
        <v xml:space="preserve">   Agents de surface organiques, non ioniques, même conditionnés pour la vente au détail (à l'excl. des savons)</v>
      </c>
      <c r="C1397">
        <v>24264643</v>
      </c>
      <c r="D1397">
        <v>1980</v>
      </c>
    </row>
    <row r="1398" spans="1:4" x14ac:dyDescent="0.25">
      <c r="A1398" t="str">
        <f>T("   340290")</f>
        <v xml:space="preserve">   340290</v>
      </c>
      <c r="B1398" t="s">
        <v>104</v>
      </c>
      <c r="C1398">
        <v>57245616</v>
      </c>
      <c r="D1398">
        <v>21909</v>
      </c>
    </row>
    <row r="1399" spans="1:4" x14ac:dyDescent="0.25">
      <c r="A1399" t="str">
        <f>T("   350790")</f>
        <v xml:space="preserve">   350790</v>
      </c>
      <c r="B1399" t="str">
        <f>T("   Enzymes et enzymes préparées, n.d.a. (à l'excl. de la présure et de ses concentrats)")</f>
        <v xml:space="preserve">   Enzymes et enzymes préparées, n.d.a. (à l'excl. de la présure et de ses concentrats)</v>
      </c>
      <c r="C1399">
        <v>24103584</v>
      </c>
      <c r="D1399">
        <v>2277</v>
      </c>
    </row>
    <row r="1400" spans="1:4" x14ac:dyDescent="0.25">
      <c r="A1400" t="str">
        <f>T("   370510")</f>
        <v xml:space="preserve">   370510</v>
      </c>
      <c r="B1400" t="str">
        <f>T("   Plaques et pellicules, photographiques, impressionnées et développées, pour la reproduction offset (à l'excl. des plaques prêtes à l'emploi ainsi que des produits en papier, en carton ou en matières textiles)")</f>
        <v xml:space="preserve">   Plaques et pellicules, photographiques, impressionnées et développées, pour la reproduction offset (à l'excl. des plaques prêtes à l'emploi ainsi que des produits en papier, en carton ou en matières textiles)</v>
      </c>
      <c r="C1400">
        <v>478851</v>
      </c>
      <c r="D1400">
        <v>300</v>
      </c>
    </row>
    <row r="1401" spans="1:4" x14ac:dyDescent="0.25">
      <c r="A1401" t="str">
        <f>T("   380210")</f>
        <v xml:space="preserve">   380210</v>
      </c>
      <c r="B1401" t="str">
        <f>T("   Charbons activés (à l'excl. des produits ayant le caractère de médicaments ou conditionnés pour la vente au détail en tant que désodorisants pour réfrigérateurs, automobiles, etc.)")</f>
        <v xml:space="preserve">   Charbons activés (à l'excl. des produits ayant le caractère de médicaments ou conditionnés pour la vente au détail en tant que désodorisants pour réfrigérateurs, automobiles, etc.)</v>
      </c>
      <c r="C1401">
        <v>17131136</v>
      </c>
      <c r="D1401">
        <v>4235</v>
      </c>
    </row>
    <row r="1402" spans="1:4" x14ac:dyDescent="0.25">
      <c r="A1402" t="str">
        <f>T("   380890")</f>
        <v xml:space="preserve">   380890</v>
      </c>
      <c r="B1402" t="str">
        <f>T("   Antirongeurs et autres produits phytosanitaires, présentés dans des formes ou emballages de vente au détail ou à l'état de préparations ou sous forme d'articles (à l'excl. des insecticides, des fongicides, des herbicides et des désinfectants)")</f>
        <v xml:space="preserve">   Antirongeurs et autres produits phytosanitaires, présentés dans des formes ou emballages de vente au détail ou à l'état de préparations ou sous forme d'articles (à l'excl. des insecticides, des fongicides, des herbicides et des désinfectants)</v>
      </c>
      <c r="C1402">
        <v>9167474</v>
      </c>
      <c r="D1402">
        <v>3749</v>
      </c>
    </row>
    <row r="1403" spans="1:4" x14ac:dyDescent="0.25">
      <c r="A1403" t="str">
        <f>T("   381400")</f>
        <v xml:space="preserve">   381400</v>
      </c>
      <c r="B1403" t="str">
        <f>T("   Solvants et diluants organiques composites, n.d.a.; préparations conçues pour enlever les peintures ou les vernis (à l'excl. des dissolvants pour vernis à ongles)")</f>
        <v xml:space="preserve">   Solvants et diluants organiques composites, n.d.a.; préparations conçues pour enlever les peintures ou les vernis (à l'excl. des dissolvants pour vernis à ongles)</v>
      </c>
      <c r="C1403">
        <v>1137822</v>
      </c>
      <c r="D1403">
        <v>39</v>
      </c>
    </row>
    <row r="1404" spans="1:4" x14ac:dyDescent="0.25">
      <c r="A1404" t="str">
        <f>T("   382100")</f>
        <v xml:space="preserve">   382100</v>
      </c>
      <c r="B1404" t="str">
        <f>T("   Milieux de culture préparés pour le développement des micro-organismes")</f>
        <v xml:space="preserve">   Milieux de culture préparés pour le développement des micro-organismes</v>
      </c>
      <c r="C1404">
        <v>5439751</v>
      </c>
      <c r="D1404">
        <v>579</v>
      </c>
    </row>
    <row r="1405" spans="1:4" x14ac:dyDescent="0.25">
      <c r="A1405" t="str">
        <f>T("   382200")</f>
        <v xml:space="preserve">   382200</v>
      </c>
      <c r="B1405" t="s">
        <v>125</v>
      </c>
      <c r="C1405">
        <v>3280548</v>
      </c>
      <c r="D1405">
        <v>129</v>
      </c>
    </row>
    <row r="1406" spans="1:4" x14ac:dyDescent="0.25">
      <c r="A1406" t="str">
        <f>T("   382490")</f>
        <v xml:space="preserve">   382490</v>
      </c>
      <c r="B1406" t="str">
        <f>T("   Produits chimiques et préparations des industries chimiques ou des industries connexes, y.c. celles consistant en mélanges de produits naturels, n.d.a.")</f>
        <v xml:space="preserve">   Produits chimiques et préparations des industries chimiques ou des industries connexes, y.c. celles consistant en mélanges de produits naturels, n.d.a.</v>
      </c>
      <c r="C1406">
        <v>36614638</v>
      </c>
      <c r="D1406">
        <v>5340</v>
      </c>
    </row>
    <row r="1407" spans="1:4" x14ac:dyDescent="0.25">
      <c r="A1407" t="str">
        <f>T("   390720")</f>
        <v xml:space="preserve">   390720</v>
      </c>
      <c r="B1407" t="str">
        <f>T("   Polyéthers, sous formes primaires (à l'excl. des polyacétals)")</f>
        <v xml:space="preserve">   Polyéthers, sous formes primaires (à l'excl. des polyacétals)</v>
      </c>
      <c r="C1407">
        <v>374905409</v>
      </c>
      <c r="D1407">
        <v>288000</v>
      </c>
    </row>
    <row r="1408" spans="1:4" x14ac:dyDescent="0.25">
      <c r="A1408" t="str">
        <f>T("   390950")</f>
        <v xml:space="preserve">   390950</v>
      </c>
      <c r="B1408" t="str">
        <f>T("   Polyuréthannes, sous formes primaires")</f>
        <v xml:space="preserve">   Polyuréthannes, sous formes primaires</v>
      </c>
      <c r="C1408">
        <v>44064769</v>
      </c>
      <c r="D1408">
        <v>36000</v>
      </c>
    </row>
    <row r="1409" spans="1:4" x14ac:dyDescent="0.25">
      <c r="A1409" t="str">
        <f>T("   392310")</f>
        <v xml:space="preserve">   392310</v>
      </c>
      <c r="B1409" t="str">
        <f>T("   Boîtes, caisses, casiers et articles simil. pour le transport ou l'emballage, en matières plastiques")</f>
        <v xml:space="preserve">   Boîtes, caisses, casiers et articles simil. pour le transport ou l'emballage, en matières plastiques</v>
      </c>
      <c r="C1409">
        <v>80000</v>
      </c>
      <c r="D1409">
        <v>45</v>
      </c>
    </row>
    <row r="1410" spans="1:4" x14ac:dyDescent="0.25">
      <c r="A1410" t="str">
        <f>T("   392329")</f>
        <v xml:space="preserve">   392329</v>
      </c>
      <c r="B1410" t="str">
        <f>T("   Sacs, sachets, pochettes et cornets, en matières plastiques (autres que les polymères de l'éthylène)")</f>
        <v xml:space="preserve">   Sacs, sachets, pochettes et cornets, en matières plastiques (autres que les polymères de l'éthylène)</v>
      </c>
      <c r="C1410">
        <v>197680</v>
      </c>
      <c r="D1410">
        <v>14</v>
      </c>
    </row>
    <row r="1411" spans="1:4" x14ac:dyDescent="0.25">
      <c r="A1411" t="str">
        <f>T("   392350")</f>
        <v xml:space="preserve">   392350</v>
      </c>
      <c r="B1411" t="str">
        <f>T("   Bouchons, couvercles, capsules et autres dispositifs de fermeture, en matières plastiques")</f>
        <v xml:space="preserve">   Bouchons, couvercles, capsules et autres dispositifs de fermeture, en matières plastiques</v>
      </c>
      <c r="C1411">
        <v>9028922</v>
      </c>
      <c r="D1411">
        <v>425</v>
      </c>
    </row>
    <row r="1412" spans="1:4" x14ac:dyDescent="0.25">
      <c r="A1412" t="str">
        <f>T("   392590")</f>
        <v xml:space="preserve">   392590</v>
      </c>
      <c r="B1412" t="s">
        <v>146</v>
      </c>
      <c r="C1412">
        <v>501744</v>
      </c>
      <c r="D1412">
        <v>81</v>
      </c>
    </row>
    <row r="1413" spans="1:4" x14ac:dyDescent="0.25">
      <c r="A1413" t="str">
        <f>T("   392690")</f>
        <v xml:space="preserve">   392690</v>
      </c>
      <c r="B1413" t="str">
        <f>T("   Ouvrages en matières plastiques et ouvrages en autres matières du n° 3901 à 3914, n.d.a.")</f>
        <v xml:space="preserve">   Ouvrages en matières plastiques et ouvrages en autres matières du n° 3901 à 3914, n.d.a.</v>
      </c>
      <c r="C1413">
        <v>1575518</v>
      </c>
      <c r="D1413">
        <v>111</v>
      </c>
    </row>
    <row r="1414" spans="1:4" x14ac:dyDescent="0.25">
      <c r="A1414" t="str">
        <f>T("   400942")</f>
        <v xml:space="preserve">   400942</v>
      </c>
      <c r="B1414" t="s">
        <v>153</v>
      </c>
      <c r="C1414">
        <v>1884599</v>
      </c>
      <c r="D1414">
        <v>305</v>
      </c>
    </row>
    <row r="1415" spans="1:4" x14ac:dyDescent="0.25">
      <c r="A1415" t="str">
        <f>T("   401039")</f>
        <v xml:space="preserve">   401039</v>
      </c>
      <c r="B1415" t="s">
        <v>154</v>
      </c>
      <c r="C1415">
        <v>59535</v>
      </c>
      <c r="D1415">
        <v>2</v>
      </c>
    </row>
    <row r="1416" spans="1:4" x14ac:dyDescent="0.25">
      <c r="A1416" t="str">
        <f>T("   401110")</f>
        <v xml:space="preserve">   401110</v>
      </c>
      <c r="B1416" t="str">
        <f>T("   Pneumatiques neufs, en caoutchouc, des types utilisés pour les voitures de tourisme, y.c. les voitures du type 'break' et les voitures de course")</f>
        <v xml:space="preserve">   Pneumatiques neufs, en caoutchouc, des types utilisés pour les voitures de tourisme, y.c. les voitures du type 'break' et les voitures de course</v>
      </c>
      <c r="C1416">
        <v>67911526</v>
      </c>
      <c r="D1416">
        <v>13159</v>
      </c>
    </row>
    <row r="1417" spans="1:4" x14ac:dyDescent="0.25">
      <c r="A1417" t="str">
        <f>T("   401120")</f>
        <v xml:space="preserve">   401120</v>
      </c>
      <c r="B1417" t="str">
        <f>T("   Pneumatiques neufs, en caoutchouc, des types utilisés pour les autobus ou les camions (à l'excl. des pneumatiques à crampons, à chevrons ou simil.)")</f>
        <v xml:space="preserve">   Pneumatiques neufs, en caoutchouc, des types utilisés pour les autobus ou les camions (à l'excl. des pneumatiques à crampons, à chevrons ou simil.)</v>
      </c>
      <c r="C1417">
        <v>17300289</v>
      </c>
      <c r="D1417">
        <v>5562</v>
      </c>
    </row>
    <row r="1418" spans="1:4" x14ac:dyDescent="0.25">
      <c r="A1418" t="str">
        <f>T("   401220")</f>
        <v xml:space="preserve">   401220</v>
      </c>
      <c r="B1418" t="str">
        <f>T("   Pneumatiques usagés, en caoutchouc")</f>
        <v xml:space="preserve">   Pneumatiques usagés, en caoutchouc</v>
      </c>
      <c r="C1418">
        <v>9207710</v>
      </c>
      <c r="D1418">
        <v>29100</v>
      </c>
    </row>
    <row r="1419" spans="1:4" x14ac:dyDescent="0.25">
      <c r="A1419" t="str">
        <f>T("   401310")</f>
        <v xml:space="preserve">   401310</v>
      </c>
      <c r="B1419" t="str">
        <f>T("   Chambres à air, en caoutchouc, des types utilisés pour les voitures de tourisme [y.c. les voitures du type 'break' et les voitures de course], les autobus ou les camions")</f>
        <v xml:space="preserve">   Chambres à air, en caoutchouc, des types utilisés pour les voitures de tourisme [y.c. les voitures du type 'break' et les voitures de course], les autobus ou les camions</v>
      </c>
      <c r="C1419">
        <v>400136</v>
      </c>
      <c r="D1419">
        <v>5470</v>
      </c>
    </row>
    <row r="1420" spans="1:4" x14ac:dyDescent="0.25">
      <c r="A1420" t="str">
        <f>T("   420229")</f>
        <v xml:space="preserve">   420229</v>
      </c>
      <c r="B1420" t="str">
        <f>T("   Sacs à main, même à bandoulière, y.c. ceux sans poignée, à surface extérieure en fibre vulcanisée ou en carton, ou recouverts, en totalité ou en majeure partie, de ces mêmes matières ou de papier")</f>
        <v xml:space="preserve">   Sacs à main, même à bandoulière, y.c. ceux sans poignée, à surface extérieure en fibre vulcanisée ou en carton, ou recouverts, en totalité ou en majeure partie, de ces mêmes matières ou de papier</v>
      </c>
      <c r="C1420">
        <v>46573</v>
      </c>
      <c r="D1420">
        <v>1</v>
      </c>
    </row>
    <row r="1421" spans="1:4" x14ac:dyDescent="0.25">
      <c r="A1421" t="str">
        <f>T("   420310")</f>
        <v xml:space="preserve">   420310</v>
      </c>
      <c r="B1421" t="str">
        <f>T("   Vêtements, en cuir naturel ou reconstitué (à l'excl. des accessoires du vêtement, des chaussures ou des coiffures et leurs parties ainsi que des articles du chapitre 95 [p.ex.les protège-tibias ou les masques d'escrime])")</f>
        <v xml:space="preserve">   Vêtements, en cuir naturel ou reconstitué (à l'excl. des accessoires du vêtement, des chaussures ou des coiffures et leurs parties ainsi que des articles du chapitre 95 [p.ex.les protège-tibias ou les masques d'escrime])</v>
      </c>
      <c r="C1421">
        <v>36681</v>
      </c>
      <c r="D1421">
        <v>278</v>
      </c>
    </row>
    <row r="1422" spans="1:4" x14ac:dyDescent="0.25">
      <c r="A1422" t="str">
        <f>T("   481200")</f>
        <v xml:space="preserve">   481200</v>
      </c>
      <c r="B1422" t="str">
        <f>T("   Blocs filtrants et plaques filtrantes, en pâte à papier")</f>
        <v xml:space="preserve">   Blocs filtrants et plaques filtrantes, en pâte à papier</v>
      </c>
      <c r="C1422">
        <v>4666945</v>
      </c>
      <c r="D1422">
        <v>424</v>
      </c>
    </row>
    <row r="1423" spans="1:4" x14ac:dyDescent="0.25">
      <c r="A1423" t="str">
        <f>T("   481930")</f>
        <v xml:space="preserve">   481930</v>
      </c>
      <c r="B1423" t="str">
        <f>T("   Sacs, en papier, carton, ouate de cellulose ou nappes de fibres de cellulose, d'une largeur à la base &gt;= 40 cm")</f>
        <v xml:space="preserve">   Sacs, en papier, carton, ouate de cellulose ou nappes de fibres de cellulose, d'une largeur à la base &gt;= 40 cm</v>
      </c>
      <c r="C1423">
        <v>116442307</v>
      </c>
      <c r="D1423">
        <v>162932</v>
      </c>
    </row>
    <row r="1424" spans="1:4" x14ac:dyDescent="0.25">
      <c r="A1424" t="str">
        <f>T("   482110")</f>
        <v xml:space="preserve">   482110</v>
      </c>
      <c r="B1424" t="str">
        <f>T("   ÉTIQUETTES DE TOUS GENRES, EN PAPIER OU EN CARTON, IMPRIMÉES")</f>
        <v xml:space="preserve">   ÉTIQUETTES DE TOUS GENRES, EN PAPIER OU EN CARTON, IMPRIMÉES</v>
      </c>
      <c r="C1424">
        <v>13533065</v>
      </c>
      <c r="D1424">
        <v>875</v>
      </c>
    </row>
    <row r="1425" spans="1:4" x14ac:dyDescent="0.25">
      <c r="A1425" t="str">
        <f>T("   482320")</f>
        <v xml:space="preserve">   482320</v>
      </c>
      <c r="B1425" t="str">
        <f>T("   Papier et carton-filtre, en bandes ou en rouleaux d'une largeur &lt;= 36 cm ou en feuilles de forme carrée ou rectangulaire dont aucun côté &gt; 36 cm à l'état non plié, ou découpés de forme autre que carrée ou rectangulaire")</f>
        <v xml:space="preserve">   Papier et carton-filtre, en bandes ou en rouleaux d'une largeur &lt;= 36 cm ou en feuilles de forme carrée ou rectangulaire dont aucun côté &gt; 36 cm à l'état non plié, ou découpés de forme autre que carrée ou rectangulaire</v>
      </c>
      <c r="C1425">
        <v>469831</v>
      </c>
      <c r="D1425">
        <v>33</v>
      </c>
    </row>
    <row r="1426" spans="1:4" x14ac:dyDescent="0.25">
      <c r="A1426" t="str">
        <f>T("   490199")</f>
        <v xml:space="preserve">   490199</v>
      </c>
      <c r="B1426"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1426">
        <v>450000</v>
      </c>
      <c r="D1426">
        <v>398</v>
      </c>
    </row>
    <row r="1427" spans="1:4" x14ac:dyDescent="0.25">
      <c r="A1427" t="str">
        <f>T("   491110")</f>
        <v xml:space="preserve">   491110</v>
      </c>
      <c r="B1427" t="str">
        <f>T("   Imprimés publicitaires, catalogues commerciaux et simil.")</f>
        <v xml:space="preserve">   Imprimés publicitaires, catalogues commerciaux et simil.</v>
      </c>
      <c r="C1427">
        <v>338475</v>
      </c>
      <c r="D1427">
        <v>332</v>
      </c>
    </row>
    <row r="1428" spans="1:4" x14ac:dyDescent="0.25">
      <c r="A1428" t="str">
        <f>T("   491199")</f>
        <v xml:space="preserve">   491199</v>
      </c>
      <c r="B1428" t="str">
        <f>T("   Imprimés, n.d.a.")</f>
        <v xml:space="preserve">   Imprimés, n.d.a.</v>
      </c>
      <c r="C1428">
        <v>68220</v>
      </c>
      <c r="D1428">
        <v>115</v>
      </c>
    </row>
    <row r="1429" spans="1:4" x14ac:dyDescent="0.25">
      <c r="A1429" t="str">
        <f>T("   500200")</f>
        <v xml:space="preserve">   500200</v>
      </c>
      <c r="B1429" t="str">
        <f>T("   Soie grège [non moulinée]")</f>
        <v xml:space="preserve">   Soie grège [non moulinée]</v>
      </c>
      <c r="C1429">
        <v>450000</v>
      </c>
      <c r="D1429">
        <v>151</v>
      </c>
    </row>
    <row r="1430" spans="1:4" x14ac:dyDescent="0.25">
      <c r="A1430" t="str">
        <f>T("   581010")</f>
        <v xml:space="preserve">   581010</v>
      </c>
      <c r="B1430" t="str">
        <f>T("   Broderies chimiques ou aériennes, sur support de matières textiles, et broderies à fond découpé, en pièces, en bandes ou en motifs")</f>
        <v xml:space="preserve">   Broderies chimiques ou aériennes, sur support de matières textiles, et broderies à fond découpé, en pièces, en bandes ou en motifs</v>
      </c>
      <c r="C1430">
        <v>300000</v>
      </c>
      <c r="D1430">
        <v>68</v>
      </c>
    </row>
    <row r="1431" spans="1:4" x14ac:dyDescent="0.25">
      <c r="A1431" t="str">
        <f>T("   610990")</f>
        <v xml:space="preserve">   610990</v>
      </c>
      <c r="B1431" t="str">
        <f>T("   T-shirts et maillots de corps, en bonneterie, de matières textiles (sauf de coton)")</f>
        <v xml:space="preserve">   T-shirts et maillots de corps, en bonneterie, de matières textiles (sauf de coton)</v>
      </c>
      <c r="C1431">
        <v>13099732</v>
      </c>
      <c r="D1431">
        <v>16154</v>
      </c>
    </row>
    <row r="1432" spans="1:4" x14ac:dyDescent="0.25">
      <c r="A1432" t="str">
        <f>T("   621490")</f>
        <v xml:space="preserve">   621490</v>
      </c>
      <c r="B1432" t="str">
        <f>T("   Châles, écharpes, foulards, cache-nez, cache-col, mantilles, voiles et voilettes et articles simil., de matières textiles (autres que de laine, poils fins, fibres synthétiques ou artificielles, soie et déchets de soie et autres qu'en bonneterie)")</f>
        <v xml:space="preserve">   Châles, écharpes, foulards, cache-nez, cache-col, mantilles, voiles et voilettes et articles simil., de matières textiles (autres que de laine, poils fins, fibres synthétiques ou artificielles, soie et déchets de soie et autres qu'en bonneterie)</v>
      </c>
      <c r="C1432">
        <v>118187</v>
      </c>
      <c r="D1432">
        <v>45</v>
      </c>
    </row>
    <row r="1433" spans="1:4" x14ac:dyDescent="0.25">
      <c r="A1433" t="str">
        <f>T("   630533")</f>
        <v xml:space="preserve">   630533</v>
      </c>
      <c r="B1433" t="str">
        <f>T("   Sacs et sachets d'emballage obtenus à partir de lames ou formes simil., de polyéthylène ou polypropylène (à l'excl. des contenants souples pour matières en vrac)")</f>
        <v xml:space="preserve">   Sacs et sachets d'emballage obtenus à partir de lames ou formes simil., de polyéthylène ou polypropylène (à l'excl. des contenants souples pour matières en vrac)</v>
      </c>
      <c r="C1433">
        <v>713361</v>
      </c>
      <c r="D1433">
        <v>29800</v>
      </c>
    </row>
    <row r="1434" spans="1:4" x14ac:dyDescent="0.25">
      <c r="A1434" t="str">
        <f>T("   640590")</f>
        <v xml:space="preserve">   640590</v>
      </c>
      <c r="B1434" t="s">
        <v>290</v>
      </c>
      <c r="C1434">
        <v>343000</v>
      </c>
      <c r="D1434">
        <v>220</v>
      </c>
    </row>
    <row r="1435" spans="1:4" x14ac:dyDescent="0.25">
      <c r="A1435" t="str">
        <f>T("   701090")</f>
        <v xml:space="preserve">   701090</v>
      </c>
      <c r="B1435" t="s">
        <v>323</v>
      </c>
      <c r="C1435">
        <v>17248508</v>
      </c>
      <c r="D1435">
        <v>37346</v>
      </c>
    </row>
    <row r="1436" spans="1:4" x14ac:dyDescent="0.25">
      <c r="A1436" t="str">
        <f>T("   711790")</f>
        <v xml:space="preserve">   711790</v>
      </c>
      <c r="B1436" t="str">
        <f>T("   Bijouterie de fantaisie (autre qu'en métaux communs, même argentés, dorés ou platinés)")</f>
        <v xml:space="preserve">   Bijouterie de fantaisie (autre qu'en métaux communs, même argentés, dorés ou platinés)</v>
      </c>
      <c r="C1436">
        <v>4974791</v>
      </c>
      <c r="D1436">
        <v>3020</v>
      </c>
    </row>
    <row r="1437" spans="1:4" x14ac:dyDescent="0.25">
      <c r="A1437" t="str">
        <f>T("   721049")</f>
        <v xml:space="preserve">   721049</v>
      </c>
      <c r="B1437" t="str">
        <f>T("   Produits laminés plats, en fer ou en aciers non alliés, d'une largeur &gt;= 600 mm, laminés à chaud ou à froid, zingués, non ondulés (à l'excl. des produits zingués électrolytiquement)")</f>
        <v xml:space="preserve">   Produits laminés plats, en fer ou en aciers non alliés, d'une largeur &gt;= 600 mm, laminés à chaud ou à froid, zingués, non ondulés (à l'excl. des produits zingués électrolytiquement)</v>
      </c>
      <c r="C1437">
        <v>1232806515</v>
      </c>
      <c r="D1437">
        <v>1925842</v>
      </c>
    </row>
    <row r="1438" spans="1:4" x14ac:dyDescent="0.25">
      <c r="A1438" t="str">
        <f>T("   721391")</f>
        <v xml:space="preserve">   721391</v>
      </c>
      <c r="B1438" t="str">
        <f>T("   FIL MACHINE EN FER OU ACIERS NON-ALLIÉS, ENROULÉ EN COURONNES IRRÉGULIÈRES, DE SECTION CIRCULAIRE DE DIAMÈTRE &lt; 14 MM (AUTRE QU'EN ACIERS DE DÉCOLLETAGE ET AUTRE QUE FIL MACHINE AVEC INDENTATIONS, BOURRELETS, CREUX OU RELIEFS OBTENUS LORS DU LAMINAGE)")</f>
        <v xml:space="preserve">   FIL MACHINE EN FER OU ACIERS NON-ALLIÉS, ENROULÉ EN COURONNES IRRÉGULIÈRES, DE SECTION CIRCULAIRE DE DIAMÈTRE &lt; 14 MM (AUTRE QU'EN ACIERS DE DÉCOLLETAGE ET AUTRE QUE FIL MACHINE AVEC INDENTATIONS, BOURRELETS, CREUX OU RELIEFS OBTENUS LORS DU LAMINAGE)</v>
      </c>
      <c r="C1438">
        <v>4275136355</v>
      </c>
      <c r="D1438">
        <v>11867105</v>
      </c>
    </row>
    <row r="1439" spans="1:4" x14ac:dyDescent="0.25">
      <c r="A1439" t="str">
        <f>T("   721399")</f>
        <v xml:space="preserve">   721399</v>
      </c>
      <c r="B1439" t="s">
        <v>338</v>
      </c>
      <c r="C1439">
        <v>4251233394</v>
      </c>
      <c r="D1439">
        <v>11262480</v>
      </c>
    </row>
    <row r="1440" spans="1:4" x14ac:dyDescent="0.25">
      <c r="A1440" t="str">
        <f>T("   721420")</f>
        <v xml:space="preserve">   721420</v>
      </c>
      <c r="B1440" t="str">
        <f>T("   BARRES EN FER OU EN ACIERS NON ALLIÉS, COMPORTANT DES INDENTATIONS, BOURRELETS, CREUX OU RELIEFS OBTENUS AU COURS DU LAMINAGE OU AYANT SUBI UNE TORSION APRÈS LAMINAGE")</f>
        <v xml:space="preserve">   BARRES EN FER OU EN ACIERS NON ALLIÉS, COMPORTANT DES INDENTATIONS, BOURRELETS, CREUX OU RELIEFS OBTENUS AU COURS DU LAMINAGE OU AYANT SUBI UNE TORSION APRÈS LAMINAGE</v>
      </c>
      <c r="C1440">
        <v>218334685</v>
      </c>
      <c r="D1440">
        <v>576157</v>
      </c>
    </row>
    <row r="1441" spans="1:4" x14ac:dyDescent="0.25">
      <c r="A1441" t="str">
        <f>T("   731590")</f>
        <v xml:space="preserve">   731590</v>
      </c>
      <c r="B1441" t="str">
        <f>T("   Parties de chaînes et chaînettes antidérapantes, à maillons à étais, et autres chaînes et chaînettes du n° 7315 (sauf de chaînes à maillons articulés)")</f>
        <v xml:space="preserve">   Parties de chaînes et chaînettes antidérapantes, à maillons à étais, et autres chaînes et chaînettes du n° 7315 (sauf de chaînes à maillons articulés)</v>
      </c>
      <c r="C1441">
        <v>59380851</v>
      </c>
      <c r="D1441">
        <v>7303</v>
      </c>
    </row>
    <row r="1442" spans="1:4" x14ac:dyDescent="0.25">
      <c r="A1442" t="str">
        <f>T("   731815")</f>
        <v xml:space="preserve">   731815</v>
      </c>
      <c r="B1442" t="s">
        <v>354</v>
      </c>
      <c r="C1442">
        <v>1730921</v>
      </c>
      <c r="D1442">
        <v>8</v>
      </c>
    </row>
    <row r="1443" spans="1:4" x14ac:dyDescent="0.25">
      <c r="A1443" t="str">
        <f>T("   731819")</f>
        <v xml:space="preserve">   731819</v>
      </c>
      <c r="B1443" t="str">
        <f>T("   Articles de boulonnerie et de visserie, filetés, en fonte, fer ou acier, n.d.a.")</f>
        <v xml:space="preserve">   Articles de boulonnerie et de visserie, filetés, en fonte, fer ou acier, n.d.a.</v>
      </c>
      <c r="C1443">
        <v>6689651</v>
      </c>
      <c r="D1443">
        <v>138</v>
      </c>
    </row>
    <row r="1444" spans="1:4" x14ac:dyDescent="0.25">
      <c r="A1444" t="str">
        <f>T("   820320")</f>
        <v xml:space="preserve">   820320</v>
      </c>
      <c r="B1444" t="str">
        <f>T("   PINCES -MÊME COUPANTES-, TENAILLES, BRUCELLES À USAGE NON-MÉDICAL ET OUTILS SIMIL. À MAIN, EN MÉTAUX COMMUNS")</f>
        <v xml:space="preserve">   PINCES -MÊME COUPANTES-, TENAILLES, BRUCELLES À USAGE NON-MÉDICAL ET OUTILS SIMIL. À MAIN, EN MÉTAUX COMMUNS</v>
      </c>
      <c r="C1444">
        <v>536968</v>
      </c>
      <c r="D1444">
        <v>1</v>
      </c>
    </row>
    <row r="1445" spans="1:4" x14ac:dyDescent="0.25">
      <c r="A1445" t="str">
        <f>T("   840890")</f>
        <v xml:space="preserve">   840890</v>
      </c>
      <c r="B1445" t="s">
        <v>389</v>
      </c>
      <c r="C1445">
        <v>619226</v>
      </c>
      <c r="D1445">
        <v>100</v>
      </c>
    </row>
    <row r="1446" spans="1:4" x14ac:dyDescent="0.25">
      <c r="A1446" t="str">
        <f>T("   841330")</f>
        <v xml:space="preserve">   841330</v>
      </c>
      <c r="B1446" t="str">
        <f>T("   Pompes à carburant, à huile ou à liquide de refroidissement pour moteurs à allumage par étincelles ou par compression")</f>
        <v xml:space="preserve">   Pompes à carburant, à huile ou à liquide de refroidissement pour moteurs à allumage par étincelles ou par compression</v>
      </c>
      <c r="C1446">
        <v>108653</v>
      </c>
      <c r="D1446">
        <v>1</v>
      </c>
    </row>
    <row r="1447" spans="1:4" x14ac:dyDescent="0.25">
      <c r="A1447" t="str">
        <f>T("   841490")</f>
        <v xml:space="preserve">   841490</v>
      </c>
      <c r="B1447" t="str">
        <f>T("   Parties de pompes à air ou à vide, de compresseurs d'air ou d'autres gaz et de ventilateurs, de hottes aspirantes à extraction ou à recyclage, à ventilateur incorporé, n.d.a.")</f>
        <v xml:space="preserve">   Parties de pompes à air ou à vide, de compresseurs d'air ou d'autres gaz et de ventilateurs, de hottes aspirantes à extraction ou à recyclage, à ventilateur incorporé, n.d.a.</v>
      </c>
      <c r="C1447">
        <v>641162</v>
      </c>
      <c r="D1447">
        <v>104</v>
      </c>
    </row>
    <row r="1448" spans="1:4" x14ac:dyDescent="0.25">
      <c r="A1448" t="str">
        <f>T("   841822")</f>
        <v xml:space="preserve">   841822</v>
      </c>
      <c r="B1448" t="str">
        <f>T("   Réfrigérateurs ménagers à absorption, électriques")</f>
        <v xml:space="preserve">   Réfrigérateurs ménagers à absorption, électriques</v>
      </c>
      <c r="C1448">
        <v>325000</v>
      </c>
      <c r="D1448">
        <v>250</v>
      </c>
    </row>
    <row r="1449" spans="1:4" x14ac:dyDescent="0.25">
      <c r="A1449" t="str">
        <f>T("   841990")</f>
        <v xml:space="preserve">   841990</v>
      </c>
      <c r="B1449" t="str">
        <f>T("   Parties d'appareils et dispositifs, même chauffés électriquement, pour le traitement de matières par des opérations impliquant un changement de température, ainsi que de chauffe-eau non-électriques à chauffage instantané ou à accumulation, n.d.a.")</f>
        <v xml:space="preserve">   Parties d'appareils et dispositifs, même chauffés électriquement, pour le traitement de matières par des opérations impliquant un changement de température, ainsi que de chauffe-eau non-électriques à chauffage instantané ou à accumulation, n.d.a.</v>
      </c>
      <c r="C1449">
        <v>3015330</v>
      </c>
      <c r="D1449">
        <v>260</v>
      </c>
    </row>
    <row r="1450" spans="1:4" x14ac:dyDescent="0.25">
      <c r="A1450" t="str">
        <f>T("   842123")</f>
        <v xml:space="preserve">   842123</v>
      </c>
      <c r="B1450" t="str">
        <f>T("   Appareils pour la filtration des huiles minérales et carburants pour les moteurs à allumage par étincelles ou par compression")</f>
        <v xml:space="preserve">   Appareils pour la filtration des huiles minérales et carburants pour les moteurs à allumage par étincelles ou par compression</v>
      </c>
      <c r="C1450">
        <v>95114</v>
      </c>
      <c r="D1450">
        <v>10</v>
      </c>
    </row>
    <row r="1451" spans="1:4" x14ac:dyDescent="0.25">
      <c r="A1451" t="str">
        <f>T("   842290")</f>
        <v xml:space="preserve">   842290</v>
      </c>
      <c r="B1451" t="str">
        <f>T("   Parties des machines à laver la vaisselle, des machines à empaqueter ou à emballer les marchandises et autres machines et appareils du n° 8422, n.d.a.")</f>
        <v xml:space="preserve">   Parties des machines à laver la vaisselle, des machines à empaqueter ou à emballer les marchandises et autres machines et appareils du n° 8422, n.d.a.</v>
      </c>
      <c r="C1451">
        <v>100932309</v>
      </c>
      <c r="D1451">
        <v>2054</v>
      </c>
    </row>
    <row r="1452" spans="1:4" x14ac:dyDescent="0.25">
      <c r="A1452" t="str">
        <f>T("   842420")</f>
        <v xml:space="preserve">   842420</v>
      </c>
      <c r="B1452" t="s">
        <v>404</v>
      </c>
      <c r="C1452">
        <v>3364963</v>
      </c>
      <c r="D1452">
        <v>110</v>
      </c>
    </row>
    <row r="1453" spans="1:4" x14ac:dyDescent="0.25">
      <c r="A1453" t="str">
        <f>T("   843139")</f>
        <v xml:space="preserve">   843139</v>
      </c>
      <c r="B1453" t="str">
        <f>T("   Parties de machines et appareils du n° 8428, n.d.a.")</f>
        <v xml:space="preserve">   Parties de machines et appareils du n° 8428, n.d.a.</v>
      </c>
      <c r="C1453">
        <v>32091925</v>
      </c>
      <c r="D1453">
        <v>2850</v>
      </c>
    </row>
    <row r="1454" spans="1:4" x14ac:dyDescent="0.25">
      <c r="A1454" t="str">
        <f>T("   843149")</f>
        <v xml:space="preserve">   843149</v>
      </c>
      <c r="B1454" t="str">
        <f>T("   Parties de machines et appareils du n° 8426, 8429 ou 8430, n.d.a.")</f>
        <v xml:space="preserve">   Parties de machines et appareils du n° 8426, 8429 ou 8430, n.d.a.</v>
      </c>
      <c r="C1454">
        <v>157155</v>
      </c>
      <c r="D1454">
        <v>50</v>
      </c>
    </row>
    <row r="1455" spans="1:4" x14ac:dyDescent="0.25">
      <c r="A1455" t="str">
        <f>T("   843280")</f>
        <v xml:space="preserve">   843280</v>
      </c>
      <c r="B1455" t="s">
        <v>409</v>
      </c>
      <c r="C1455">
        <v>10319563</v>
      </c>
      <c r="D1455">
        <v>1418</v>
      </c>
    </row>
    <row r="1456" spans="1:4" x14ac:dyDescent="0.25">
      <c r="A1456" t="str">
        <f>T("   843359")</f>
        <v xml:space="preserve">   843359</v>
      </c>
      <c r="B1456" t="s">
        <v>410</v>
      </c>
      <c r="C1456">
        <v>6711783</v>
      </c>
      <c r="D1456">
        <v>923</v>
      </c>
    </row>
    <row r="1457" spans="1:4" x14ac:dyDescent="0.25">
      <c r="A1457" t="str">
        <f>T("   843790")</f>
        <v xml:space="preserve">   843790</v>
      </c>
      <c r="B1457" t="str">
        <f>T("   Parties de machines et appareils de minoterie ou pour le traitement des céréales ou légumes secs ou pour le nettoyage, le triage ou le criblage des grains ou des légumes secs, n.d.a.")</f>
        <v xml:space="preserve">   Parties de machines et appareils de minoterie ou pour le traitement des céréales ou légumes secs ou pour le nettoyage, le triage ou le criblage des grains ou des légumes secs, n.d.a.</v>
      </c>
      <c r="C1457">
        <v>15038262</v>
      </c>
      <c r="D1457">
        <v>1505</v>
      </c>
    </row>
    <row r="1458" spans="1:4" x14ac:dyDescent="0.25">
      <c r="A1458" t="str">
        <f>T("   843840")</f>
        <v xml:space="preserve">   843840</v>
      </c>
      <c r="B1458" t="str">
        <f>T("   Machines et appareils pour la brasserie (sauf centrifugeuses et sauf appareils de filtrage, appareils thermiques et appareils de refroidissement)")</f>
        <v xml:space="preserve">   Machines et appareils pour la brasserie (sauf centrifugeuses et sauf appareils de filtrage, appareils thermiques et appareils de refroidissement)</v>
      </c>
      <c r="C1458">
        <v>33831944</v>
      </c>
      <c r="D1458">
        <v>954</v>
      </c>
    </row>
    <row r="1459" spans="1:4" x14ac:dyDescent="0.25">
      <c r="A1459" t="str">
        <f>T("   843890")</f>
        <v xml:space="preserve">   843890</v>
      </c>
      <c r="B1459" t="str">
        <f>T("   Parties des machines et appareils pour le traitement, la préparation ou la fabrication industriels d'aliments ou de boissons, n.d.a.")</f>
        <v xml:space="preserve">   Parties des machines et appareils pour le traitement, la préparation ou la fabrication industriels d'aliments ou de boissons, n.d.a.</v>
      </c>
      <c r="C1459">
        <v>28603529</v>
      </c>
      <c r="D1459">
        <v>3174</v>
      </c>
    </row>
    <row r="1460" spans="1:4" x14ac:dyDescent="0.25">
      <c r="A1460" t="str">
        <f>T("   844250")</f>
        <v xml:space="preserve">   844250</v>
      </c>
      <c r="B1460" t="str">
        <f>T("   PLANCHES, CYLINDRES ET AUTRES ORGANES IMPRIMANTS; PIERRES LITHOGRAPHIQUES, PLANCHES, PLAQUES ET CYLINDRES PRÉPARÉS POUR L'IMPRESSION -PLANÉS, GRENÉS, POLIS, P.EX.-")</f>
        <v xml:space="preserve">   PLANCHES, CYLINDRES ET AUTRES ORGANES IMPRIMANTS; PIERRES LITHOGRAPHIQUES, PLANCHES, PLAQUES ET CYLINDRES PRÉPARÉS POUR L'IMPRESSION -PLANÉS, GRENÉS, POLIS, P.EX.-</v>
      </c>
      <c r="C1460">
        <v>8267720</v>
      </c>
      <c r="D1460">
        <v>2478</v>
      </c>
    </row>
    <row r="1461" spans="1:4" x14ac:dyDescent="0.25">
      <c r="A1461" t="str">
        <f>T("   844390")</f>
        <v xml:space="preserve">   844390</v>
      </c>
      <c r="B1461" t="str">
        <f>T("   Parties de machines et appareils à imprimer et de leur machines et appareils auxiliaires, n.d.a.")</f>
        <v xml:space="preserve">   Parties de machines et appareils à imprimer et de leur machines et appareils auxiliaires, n.d.a.</v>
      </c>
      <c r="C1461">
        <v>69271</v>
      </c>
      <c r="D1461">
        <v>3</v>
      </c>
    </row>
    <row r="1462" spans="1:4" x14ac:dyDescent="0.25">
      <c r="A1462" t="str">
        <f>T("   847180")</f>
        <v xml:space="preserve">   847180</v>
      </c>
      <c r="B1462" t="str">
        <f>T("   Unités de machines automatiques de traitement de l'information, numériques (à l'excl. des unités de traitement, unités d'entrée ou de sortie et unités de mémoire)")</f>
        <v xml:space="preserve">   Unités de machines automatiques de traitement de l'information, numériques (à l'excl. des unités de traitement, unités d'entrée ou de sortie et unités de mémoire)</v>
      </c>
      <c r="C1462">
        <v>250000</v>
      </c>
      <c r="D1462">
        <v>350</v>
      </c>
    </row>
    <row r="1463" spans="1:4" x14ac:dyDescent="0.25">
      <c r="A1463" t="str">
        <f>T("   847190")</f>
        <v xml:space="preserve">   847190</v>
      </c>
      <c r="B1463"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1463">
        <v>421344</v>
      </c>
      <c r="D1463">
        <v>672</v>
      </c>
    </row>
    <row r="1464" spans="1:4" x14ac:dyDescent="0.25">
      <c r="A1464" t="str">
        <f>T("   847330")</f>
        <v xml:space="preserve">   847330</v>
      </c>
      <c r="B1464" t="str">
        <f>T("   Parties et accessoires pour machines automatiques de traitement de l'information ou pour autres machines du n° 8471, n.d.a.")</f>
        <v xml:space="preserve">   Parties et accessoires pour machines automatiques de traitement de l'information ou pour autres machines du n° 8471, n.d.a.</v>
      </c>
      <c r="C1464">
        <v>4744284</v>
      </c>
      <c r="D1464">
        <v>30</v>
      </c>
    </row>
    <row r="1465" spans="1:4" x14ac:dyDescent="0.25">
      <c r="A1465" t="str">
        <f>T("   847790")</f>
        <v xml:space="preserve">   847790</v>
      </c>
      <c r="B1465" t="str">
        <f>T("   Parties des machines et appareils pour le travail du caoutchouc ou des matières plastiques ou pour la fabrication de produits en ces matières, n.d.a.")</f>
        <v xml:space="preserve">   Parties des machines et appareils pour le travail du caoutchouc ou des matières plastiques ou pour la fabrication de produits en ces matières, n.d.a.</v>
      </c>
      <c r="C1465">
        <v>50276008</v>
      </c>
      <c r="D1465">
        <v>6183</v>
      </c>
    </row>
    <row r="1466" spans="1:4" x14ac:dyDescent="0.25">
      <c r="A1466" t="str">
        <f>T("   848120")</f>
        <v xml:space="preserve">   848120</v>
      </c>
      <c r="B1466" t="str">
        <f>T("   Valves pour transmissions oléohydrauliques ou pneumatiques")</f>
        <v xml:space="preserve">   Valves pour transmissions oléohydrauliques ou pneumatiques</v>
      </c>
      <c r="C1466">
        <v>1872503</v>
      </c>
      <c r="D1466">
        <v>2</v>
      </c>
    </row>
    <row r="1467" spans="1:4" x14ac:dyDescent="0.25">
      <c r="A1467" t="str">
        <f>T("   848180")</f>
        <v xml:space="preserve">   848180</v>
      </c>
      <c r="B1467" t="str">
        <f>T("   Articles de robinetterie et organes simil. pour tuyauteries, etc. (à l'excl. des détendeurs, valves pour transmissions oléohydrauliques ou pneumatiques, clapets et soupapes de retenue et sauf soupapes de trop-plein ou de sûreté)")</f>
        <v xml:space="preserve">   Articles de robinetterie et organes simil. pour tuyauteries, etc. (à l'excl. des détendeurs, valves pour transmissions oléohydrauliques ou pneumatiques, clapets et soupapes de retenue et sauf soupapes de trop-plein ou de sûreté)</v>
      </c>
      <c r="C1467">
        <v>22879303</v>
      </c>
      <c r="D1467">
        <v>1261</v>
      </c>
    </row>
    <row r="1468" spans="1:4" x14ac:dyDescent="0.25">
      <c r="A1468" t="str">
        <f>T("   848190")</f>
        <v xml:space="preserve">   848190</v>
      </c>
      <c r="B1468" t="str">
        <f>T("   Parties d'articles de robinetterie et organes simil. pour tuyauterie, etc., n.d.a.")</f>
        <v xml:space="preserve">   Parties d'articles de robinetterie et organes simil. pour tuyauterie, etc., n.d.a.</v>
      </c>
      <c r="C1468">
        <v>2901429</v>
      </c>
      <c r="D1468">
        <v>7</v>
      </c>
    </row>
    <row r="1469" spans="1:4" x14ac:dyDescent="0.25">
      <c r="A1469" t="str">
        <f>T("   848330")</f>
        <v xml:space="preserve">   848330</v>
      </c>
      <c r="B1469" t="str">
        <f>T("   Paliers pour machines, sans roulements incorporés; coussinets et coquilles de coussinets pour machines")</f>
        <v xml:space="preserve">   Paliers pour machines, sans roulements incorporés; coussinets et coquilles de coussinets pour machines</v>
      </c>
      <c r="C1469">
        <v>9862857</v>
      </c>
      <c r="D1469">
        <v>203</v>
      </c>
    </row>
    <row r="1470" spans="1:4" x14ac:dyDescent="0.25">
      <c r="A1470" t="str">
        <f>T("   848340")</f>
        <v xml:space="preserve">   848340</v>
      </c>
      <c r="B1470" t="s">
        <v>443</v>
      </c>
      <c r="C1470">
        <v>7056929</v>
      </c>
      <c r="D1470">
        <v>868</v>
      </c>
    </row>
    <row r="1471" spans="1:4" x14ac:dyDescent="0.25">
      <c r="A1471" t="str">
        <f>T("   848490")</f>
        <v xml:space="preserve">   848490</v>
      </c>
      <c r="B1471" t="str">
        <f>T("   Jeux ou assortiments de joints de composition différente présentés en pochettes, enveloppes ou emballages analogues")</f>
        <v xml:space="preserve">   Jeux ou assortiments de joints de composition différente présentés en pochettes, enveloppes ou emballages analogues</v>
      </c>
      <c r="C1471">
        <v>2535407</v>
      </c>
      <c r="D1471">
        <v>255</v>
      </c>
    </row>
    <row r="1472" spans="1:4" x14ac:dyDescent="0.25">
      <c r="A1472" t="str">
        <f>T("   850152")</f>
        <v xml:space="preserve">   850152</v>
      </c>
      <c r="B1472" t="str">
        <f>T("   Moteurs à courant alternatif, polyphasés, puissance &gt; 750 W mais &lt;= 75 kW")</f>
        <v xml:space="preserve">   Moteurs à courant alternatif, polyphasés, puissance &gt; 750 W mais &lt;= 75 kW</v>
      </c>
      <c r="C1472">
        <v>28601149</v>
      </c>
      <c r="D1472">
        <v>978</v>
      </c>
    </row>
    <row r="1473" spans="1:4" x14ac:dyDescent="0.25">
      <c r="A1473" t="str">
        <f>T("   850300")</f>
        <v xml:space="preserve">   850300</v>
      </c>
      <c r="B1473" t="str">
        <f>T("   Parties reconnaissables comme étant exclusivement ou principalement destinées aux moteurs et machines génératrices électriques, groupes électrogènes ou convertisseurs rotatifs électriques n.d.a.")</f>
        <v xml:space="preserve">   Parties reconnaissables comme étant exclusivement ou principalement destinées aux moteurs et machines génératrices électriques, groupes électrogènes ou convertisseurs rotatifs électriques n.d.a.</v>
      </c>
      <c r="C1473">
        <v>111019</v>
      </c>
      <c r="D1473">
        <v>20</v>
      </c>
    </row>
    <row r="1474" spans="1:4" x14ac:dyDescent="0.25">
      <c r="A1474" t="str">
        <f>T("   850440")</f>
        <v xml:space="preserve">   850440</v>
      </c>
      <c r="B1474" t="str">
        <f>T("   CONVERTISSEURS STATIQUES")</f>
        <v xml:space="preserve">   CONVERTISSEURS STATIQUES</v>
      </c>
      <c r="C1474">
        <v>486905</v>
      </c>
      <c r="D1474">
        <v>168</v>
      </c>
    </row>
    <row r="1475" spans="1:4" x14ac:dyDescent="0.25">
      <c r="A1475" t="str">
        <f>T("   850650")</f>
        <v xml:space="preserve">   850650</v>
      </c>
      <c r="B1475" t="str">
        <f>T("   Piles et batteries de piles électriques, au lithium (sauf hors d'usage)")</f>
        <v xml:space="preserve">   Piles et batteries de piles électriques, au lithium (sauf hors d'usage)</v>
      </c>
      <c r="C1475">
        <v>4887442</v>
      </c>
      <c r="D1475">
        <v>705</v>
      </c>
    </row>
    <row r="1476" spans="1:4" x14ac:dyDescent="0.25">
      <c r="A1476" t="str">
        <f>T("   851110")</f>
        <v xml:space="preserve">   851110</v>
      </c>
      <c r="B1476" t="str">
        <f>T("   Bougies d'allumage pour moteurs à allumage par étincelles ou par compression")</f>
        <v xml:space="preserve">   Bougies d'allumage pour moteurs à allumage par étincelles ou par compression</v>
      </c>
      <c r="C1476">
        <v>36734</v>
      </c>
      <c r="D1476">
        <v>4</v>
      </c>
    </row>
    <row r="1477" spans="1:4" x14ac:dyDescent="0.25">
      <c r="A1477" t="str">
        <f>T("   851719")</f>
        <v xml:space="preserve">   851719</v>
      </c>
      <c r="B1477" t="str">
        <f>T("   Postes téléphoniques d'usagers pour la téléphonie par fil; visiophones (sauf postes téléphoniques d'usagers par fil à combinés sans fil et parlophones)")</f>
        <v xml:space="preserve">   Postes téléphoniques d'usagers pour la téléphonie par fil; visiophones (sauf postes téléphoniques d'usagers par fil à combinés sans fil et parlophones)</v>
      </c>
      <c r="C1477">
        <v>2927508</v>
      </c>
      <c r="D1477">
        <v>928</v>
      </c>
    </row>
    <row r="1478" spans="1:4" x14ac:dyDescent="0.25">
      <c r="A1478" t="str">
        <f>T("   851780")</f>
        <v xml:space="preserve">   851780</v>
      </c>
      <c r="B1478" t="s">
        <v>453</v>
      </c>
      <c r="C1478">
        <v>257367</v>
      </c>
      <c r="D1478">
        <v>9</v>
      </c>
    </row>
    <row r="1479" spans="1:4" x14ac:dyDescent="0.25">
      <c r="A1479" t="str">
        <f>T("   851790")</f>
        <v xml:space="preserve">   851790</v>
      </c>
      <c r="B1479" t="s">
        <v>454</v>
      </c>
      <c r="C1479">
        <v>2612683</v>
      </c>
      <c r="D1479">
        <v>815</v>
      </c>
    </row>
    <row r="1480" spans="1:4" x14ac:dyDescent="0.25">
      <c r="A1480" t="str">
        <f>T("   851829")</f>
        <v xml:space="preserve">   851829</v>
      </c>
      <c r="B1480" t="str">
        <f>T("   Haut-parleurs sans enceinte")</f>
        <v xml:space="preserve">   Haut-parleurs sans enceinte</v>
      </c>
      <c r="C1480">
        <v>60000</v>
      </c>
      <c r="D1480">
        <v>215</v>
      </c>
    </row>
    <row r="1481" spans="1:4" x14ac:dyDescent="0.25">
      <c r="A1481" t="str">
        <f>T("   852290")</f>
        <v xml:space="preserve">   852290</v>
      </c>
      <c r="B1481" t="s">
        <v>459</v>
      </c>
      <c r="C1481">
        <v>152437</v>
      </c>
      <c r="D1481">
        <v>10</v>
      </c>
    </row>
    <row r="1482" spans="1:4" x14ac:dyDescent="0.25">
      <c r="A1482" t="str">
        <f>T("   852540")</f>
        <v xml:space="preserve">   852540</v>
      </c>
      <c r="B1482" t="str">
        <f>T("   Appareils de prise de vues fixes vidéo et autres caméscopes; appareils photographiques numériques")</f>
        <v xml:space="preserve">   Appareils de prise de vues fixes vidéo et autres caméscopes; appareils photographiques numériques</v>
      </c>
      <c r="C1482">
        <v>354879</v>
      </c>
      <c r="D1482">
        <v>42</v>
      </c>
    </row>
    <row r="1483" spans="1:4" x14ac:dyDescent="0.25">
      <c r="A1483" t="str">
        <f>T("   852729")</f>
        <v xml:space="preserve">   852729</v>
      </c>
      <c r="B1483" t="s">
        <v>462</v>
      </c>
      <c r="C1483">
        <v>658500</v>
      </c>
      <c r="D1483">
        <v>200</v>
      </c>
    </row>
    <row r="1484" spans="1:4" x14ac:dyDescent="0.25">
      <c r="A1484" t="str">
        <f>T("   852812")</f>
        <v xml:space="preserve">   852812</v>
      </c>
      <c r="B1484"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1484">
        <v>35808</v>
      </c>
      <c r="D1484">
        <v>278</v>
      </c>
    </row>
    <row r="1485" spans="1:4" x14ac:dyDescent="0.25">
      <c r="A1485" t="str">
        <f>T("   852821")</f>
        <v xml:space="preserve">   852821</v>
      </c>
      <c r="B1485" t="str">
        <f>T("   Moniteurs vidéo en couleurs")</f>
        <v xml:space="preserve">   Moniteurs vidéo en couleurs</v>
      </c>
      <c r="C1485">
        <v>352611</v>
      </c>
      <c r="D1485">
        <v>7</v>
      </c>
    </row>
    <row r="1486" spans="1:4" x14ac:dyDescent="0.25">
      <c r="A1486" t="str">
        <f>T("   852830")</f>
        <v xml:space="preserve">   852830</v>
      </c>
      <c r="B1486" t="str">
        <f>T("   Projecteurs vidéo")</f>
        <v xml:space="preserve">   Projecteurs vidéo</v>
      </c>
      <c r="C1486">
        <v>603483</v>
      </c>
      <c r="D1486">
        <v>2</v>
      </c>
    </row>
    <row r="1487" spans="1:4" x14ac:dyDescent="0.25">
      <c r="A1487" t="str">
        <f>T("   853649")</f>
        <v xml:space="preserve">   853649</v>
      </c>
      <c r="B1487" t="str">
        <f>T("   Relais, pour une tension &gt; 60 V mais &lt;= 1.000 V")</f>
        <v xml:space="preserve">   Relais, pour une tension &gt; 60 V mais &lt;= 1.000 V</v>
      </c>
      <c r="C1487">
        <v>754918</v>
      </c>
      <c r="D1487">
        <v>66</v>
      </c>
    </row>
    <row r="1488" spans="1:4" x14ac:dyDescent="0.25">
      <c r="A1488" t="str">
        <f>T("   853650")</f>
        <v xml:space="preserve">   853650</v>
      </c>
      <c r="B1488" t="str">
        <f>T("   Interrupteurs, sectionneurs et commutateurs, pour une tension &lt;= 1.000 V (autres que relais et disjoncteurs)")</f>
        <v xml:space="preserve">   Interrupteurs, sectionneurs et commutateurs, pour une tension &lt;= 1.000 V (autres que relais et disjoncteurs)</v>
      </c>
      <c r="C1488">
        <v>942769</v>
      </c>
      <c r="D1488">
        <v>7</v>
      </c>
    </row>
    <row r="1489" spans="1:4" x14ac:dyDescent="0.25">
      <c r="A1489" t="str">
        <f>T("   853720")</f>
        <v xml:space="preserve">   853720</v>
      </c>
      <c r="B1489" t="str">
        <f>T("   Tableaux, armoires et combinaisons d'appareils simil., pour la commande ou la distribution électrique, pour une tension &gt; 1.000 V")</f>
        <v xml:space="preserve">   Tableaux, armoires et combinaisons d'appareils simil., pour la commande ou la distribution électrique, pour une tension &gt; 1.000 V</v>
      </c>
      <c r="C1489">
        <v>43599424</v>
      </c>
      <c r="D1489">
        <v>3788</v>
      </c>
    </row>
    <row r="1490" spans="1:4" x14ac:dyDescent="0.25">
      <c r="A1490" t="str">
        <f>T("   853949")</f>
        <v xml:space="preserve">   853949</v>
      </c>
      <c r="B1490" t="str">
        <f>T("   Lampes et tubes à rayons ultraviolets ou infrarouges")</f>
        <v xml:space="preserve">   Lampes et tubes à rayons ultraviolets ou infrarouges</v>
      </c>
      <c r="C1490">
        <v>202286</v>
      </c>
      <c r="D1490">
        <v>6</v>
      </c>
    </row>
    <row r="1491" spans="1:4" x14ac:dyDescent="0.25">
      <c r="A1491" t="str">
        <f>T("   854449")</f>
        <v xml:space="preserve">   854449</v>
      </c>
      <c r="B1491" t="str">
        <f>T("   CONDUCTEURS ÉLECTRIQUES, POUR TENSION &lt;= 1.000 V, ISOLÉS, SANS PIÈCES DE CONNEXION, N.D.A.")</f>
        <v xml:space="preserve">   CONDUCTEURS ÉLECTRIQUES, POUR TENSION &lt;= 1.000 V, ISOLÉS, SANS PIÈCES DE CONNEXION, N.D.A.</v>
      </c>
      <c r="C1491">
        <v>122556</v>
      </c>
      <c r="D1491">
        <v>74</v>
      </c>
    </row>
    <row r="1492" spans="1:4" x14ac:dyDescent="0.25">
      <c r="A1492" t="str">
        <f>T("   870120")</f>
        <v xml:space="preserve">   870120</v>
      </c>
      <c r="B1492" t="str">
        <f>T("   Tracteurs routiers pour semi-remorques")</f>
        <v xml:space="preserve">   Tracteurs routiers pour semi-remorques</v>
      </c>
      <c r="C1492">
        <v>2000000</v>
      </c>
      <c r="D1492">
        <v>3200</v>
      </c>
    </row>
    <row r="1493" spans="1:4" x14ac:dyDescent="0.25">
      <c r="A1493" t="str">
        <f>T("   870130")</f>
        <v xml:space="preserve">   870130</v>
      </c>
      <c r="B1493" t="str">
        <f>T("   Tracteurs à chenilles (sauf motoculteurs à chenille)")</f>
        <v xml:space="preserve">   Tracteurs à chenilles (sauf motoculteurs à chenille)</v>
      </c>
      <c r="C1493">
        <v>33400434</v>
      </c>
      <c r="D1493">
        <v>19279</v>
      </c>
    </row>
    <row r="1494" spans="1:4" x14ac:dyDescent="0.25">
      <c r="A1494" t="str">
        <f>T("   870190")</f>
        <v xml:space="preserve">   870190</v>
      </c>
      <c r="B1494" t="str">
        <f>T("   Tracteurs (à l'excl. des chariots-tracteurs du n° 8709, ainsi que des motoculteurs, tracteurs routiers pour semi-remorques et tracteurs à chenilles)")</f>
        <v xml:space="preserve">   Tracteurs (à l'excl. des chariots-tracteurs du n° 8709, ainsi que des motoculteurs, tracteurs routiers pour semi-remorques et tracteurs à chenilles)</v>
      </c>
      <c r="C1494">
        <v>48428215</v>
      </c>
      <c r="D1494">
        <v>5331</v>
      </c>
    </row>
    <row r="1495" spans="1:4" x14ac:dyDescent="0.25">
      <c r="A1495" t="str">
        <f>T("   870210")</f>
        <v xml:space="preserve">   870210</v>
      </c>
      <c r="B1495" t="s">
        <v>472</v>
      </c>
      <c r="C1495">
        <v>6000000</v>
      </c>
      <c r="D1495">
        <v>5309</v>
      </c>
    </row>
    <row r="1496" spans="1:4" x14ac:dyDescent="0.25">
      <c r="A1496" t="str">
        <f>T("   870290")</f>
        <v xml:space="preserve">   870290</v>
      </c>
      <c r="B1496" t="s">
        <v>473</v>
      </c>
      <c r="C1496">
        <v>13200000</v>
      </c>
      <c r="D1496">
        <v>11820</v>
      </c>
    </row>
    <row r="1497" spans="1:4" x14ac:dyDescent="0.25">
      <c r="A1497" t="str">
        <f>T("   870322")</f>
        <v xml:space="preserve">   870322</v>
      </c>
      <c r="B1497" t="s">
        <v>475</v>
      </c>
      <c r="C1497">
        <v>482397698</v>
      </c>
      <c r="D1497">
        <v>360702</v>
      </c>
    </row>
    <row r="1498" spans="1:4" x14ac:dyDescent="0.25">
      <c r="A1498" t="str">
        <f>T("   870323")</f>
        <v xml:space="preserve">   870323</v>
      </c>
      <c r="B1498" t="s">
        <v>476</v>
      </c>
      <c r="C1498">
        <v>42176522</v>
      </c>
      <c r="D1498">
        <v>29338</v>
      </c>
    </row>
    <row r="1499" spans="1:4" x14ac:dyDescent="0.25">
      <c r="A1499" t="str">
        <f>T("   870333")</f>
        <v xml:space="preserve">   870333</v>
      </c>
      <c r="B1499" t="s">
        <v>480</v>
      </c>
      <c r="C1499">
        <v>2400000</v>
      </c>
      <c r="D1499">
        <v>2900</v>
      </c>
    </row>
    <row r="1500" spans="1:4" x14ac:dyDescent="0.25">
      <c r="A1500" t="str">
        <f>T("   870421")</f>
        <v xml:space="preserve">   870421</v>
      </c>
      <c r="B1500" t="s">
        <v>481</v>
      </c>
      <c r="C1500">
        <v>110423085</v>
      </c>
      <c r="D1500">
        <v>74988</v>
      </c>
    </row>
    <row r="1501" spans="1:4" x14ac:dyDescent="0.25">
      <c r="A1501" t="str">
        <f>T("   870431")</f>
        <v xml:space="preserve">   870431</v>
      </c>
      <c r="B1501" t="s">
        <v>484</v>
      </c>
      <c r="C1501">
        <v>12397873</v>
      </c>
      <c r="D1501">
        <v>11690</v>
      </c>
    </row>
    <row r="1502" spans="1:4" x14ac:dyDescent="0.25">
      <c r="A1502" t="str">
        <f>T("   870899")</f>
        <v xml:space="preserve">   870899</v>
      </c>
      <c r="B1502"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1502">
        <v>2175820</v>
      </c>
      <c r="D1502">
        <v>304</v>
      </c>
    </row>
    <row r="1503" spans="1:4" x14ac:dyDescent="0.25">
      <c r="A1503" t="str">
        <f>T("   871310")</f>
        <v xml:space="preserve">   871310</v>
      </c>
      <c r="B1503" t="str">
        <f>T("   Fauteuils roulants et autres véhicules pour invalides (sans mécanisme de propulsion)")</f>
        <v xml:space="preserve">   Fauteuils roulants et autres véhicules pour invalides (sans mécanisme de propulsion)</v>
      </c>
      <c r="C1503">
        <v>71616</v>
      </c>
      <c r="D1503">
        <v>556</v>
      </c>
    </row>
    <row r="1504" spans="1:4" x14ac:dyDescent="0.25">
      <c r="A1504" t="str">
        <f>T("   871640")</f>
        <v xml:space="preserve">   871640</v>
      </c>
      <c r="B1504" t="str">
        <f>T("   Remorques ne circulant pas sur rails (à l'excl. des remorques pour le transport de marchandises et remorques pour l'habitation ou le camping, du type caravane)")</f>
        <v xml:space="preserve">   Remorques ne circulant pas sur rails (à l'excl. des remorques pour le transport de marchandises et remorques pour l'habitation ou le camping, du type caravane)</v>
      </c>
      <c r="C1504">
        <v>4000000</v>
      </c>
      <c r="D1504">
        <v>7500</v>
      </c>
    </row>
    <row r="1505" spans="1:4" x14ac:dyDescent="0.25">
      <c r="A1505" t="str">
        <f>T("   900659")</f>
        <v xml:space="preserve">   900659</v>
      </c>
      <c r="B1505" t="s">
        <v>493</v>
      </c>
      <c r="C1505">
        <v>959669</v>
      </c>
      <c r="D1505">
        <v>8</v>
      </c>
    </row>
    <row r="1506" spans="1:4" x14ac:dyDescent="0.25">
      <c r="A1506" t="str">
        <f>T("   900912")</f>
        <v xml:space="preserve">   900912</v>
      </c>
      <c r="B1506" t="str">
        <f>T("   Appareils de photocopie électrostatiques, fonctionnant par reproduction de l'image de l'original sur la copie au moyen d'un support intermédiaire [procédé indirect]")</f>
        <v xml:space="preserve">   Appareils de photocopie électrostatiques, fonctionnant par reproduction de l'image de l'original sur la copie au moyen d'un support intermédiaire [procédé indirect]</v>
      </c>
      <c r="C1506">
        <v>167773</v>
      </c>
      <c r="D1506">
        <v>72</v>
      </c>
    </row>
    <row r="1507" spans="1:4" x14ac:dyDescent="0.25">
      <c r="A1507" t="str">
        <f>T("   901190")</f>
        <v xml:space="preserve">   901190</v>
      </c>
      <c r="B1507" t="str">
        <f>T("   Parties et accessoires de microscopes optiques, n.d.a.")</f>
        <v xml:space="preserve">   Parties et accessoires de microscopes optiques, n.d.a.</v>
      </c>
      <c r="C1507">
        <v>215720</v>
      </c>
      <c r="D1507">
        <v>1669</v>
      </c>
    </row>
    <row r="1508" spans="1:4" x14ac:dyDescent="0.25">
      <c r="A1508" t="str">
        <f>T("   901580")</f>
        <v xml:space="preserve">   901580</v>
      </c>
      <c r="B1508" t="s">
        <v>496</v>
      </c>
      <c r="C1508">
        <v>709758</v>
      </c>
      <c r="D1508">
        <v>29</v>
      </c>
    </row>
    <row r="1509" spans="1:4" x14ac:dyDescent="0.25">
      <c r="A1509" t="str">
        <f>T("   901780")</f>
        <v xml:space="preserve">   901780</v>
      </c>
      <c r="B1509" t="str">
        <f>T("   Instruments de mesure de longueurs, pour emploi à la main, n.d.a.")</f>
        <v xml:space="preserve">   Instruments de mesure de longueurs, pour emploi à la main, n.d.a.</v>
      </c>
      <c r="C1509">
        <v>123694</v>
      </c>
      <c r="D1509">
        <v>20</v>
      </c>
    </row>
    <row r="1510" spans="1:4" x14ac:dyDescent="0.25">
      <c r="A1510" t="str">
        <f>T("   901819")</f>
        <v xml:space="preserve">   901819</v>
      </c>
      <c r="B1510" t="s">
        <v>497</v>
      </c>
      <c r="C1510">
        <v>2107223</v>
      </c>
      <c r="D1510">
        <v>150</v>
      </c>
    </row>
    <row r="1511" spans="1:4" x14ac:dyDescent="0.25">
      <c r="A1511" t="str">
        <f>T("   901890")</f>
        <v xml:space="preserve">   901890</v>
      </c>
      <c r="B1511" t="str">
        <f>T("   Instruments et appareils pour la médecine, la chirurgie ou l'art vétérinaire, n.d.a.")</f>
        <v xml:space="preserve">   Instruments et appareils pour la médecine, la chirurgie ou l'art vétérinaire, n.d.a.</v>
      </c>
      <c r="C1511">
        <v>1564832</v>
      </c>
      <c r="D1511">
        <v>158</v>
      </c>
    </row>
    <row r="1512" spans="1:4" x14ac:dyDescent="0.25">
      <c r="A1512" t="str">
        <f>T("   902610")</f>
        <v xml:space="preserve">   902610</v>
      </c>
      <c r="B1512" t="str">
        <f>T("   Instruments et appareils pour la mesure ou le contrôle du débit ou du niveau des liquides (à l'excl. des compteurs et des instruments et appareils pour la régulation ou le contrôle automatiques)")</f>
        <v xml:space="preserve">   Instruments et appareils pour la mesure ou le contrôle du débit ou du niveau des liquides (à l'excl. des compteurs et des instruments et appareils pour la régulation ou le contrôle automatiques)</v>
      </c>
      <c r="C1512">
        <v>22659718</v>
      </c>
      <c r="D1512">
        <v>1969</v>
      </c>
    </row>
    <row r="1513" spans="1:4" x14ac:dyDescent="0.25">
      <c r="A1513" t="str">
        <f>T("   902790")</f>
        <v xml:space="preserve">   902790</v>
      </c>
      <c r="B1513" t="s">
        <v>502</v>
      </c>
      <c r="C1513">
        <v>799586</v>
      </c>
      <c r="D1513">
        <v>58</v>
      </c>
    </row>
    <row r="1514" spans="1:4" x14ac:dyDescent="0.25">
      <c r="A1514" t="str">
        <f>T("   903180")</f>
        <v xml:space="preserve">   903180</v>
      </c>
      <c r="B1514" t="str">
        <f>T("   INSTRUMENTS, APPAREILS ET MACHINES DE MESURE OU DE CONTRÔLE, NON-OPTIQUES, N.D.A. DANS LE PRÉSENT CHAPITRE")</f>
        <v xml:space="preserve">   INSTRUMENTS, APPAREILS ET MACHINES DE MESURE OU DE CONTRÔLE, NON-OPTIQUES, N.D.A. DANS LE PRÉSENT CHAPITRE</v>
      </c>
      <c r="C1514">
        <v>5178941</v>
      </c>
      <c r="D1514">
        <v>82</v>
      </c>
    </row>
    <row r="1515" spans="1:4" x14ac:dyDescent="0.25">
      <c r="A1515" t="str">
        <f>T("   903190")</f>
        <v xml:space="preserve">   903190</v>
      </c>
      <c r="B1515" t="str">
        <f>T("   Parties et accessoires des instruments, appareils et machines de mesure ou de contrôle, n.d.a.")</f>
        <v xml:space="preserve">   Parties et accessoires des instruments, appareils et machines de mesure ou de contrôle, n.d.a.</v>
      </c>
      <c r="C1515">
        <v>912866</v>
      </c>
      <c r="D1515">
        <v>4</v>
      </c>
    </row>
    <row r="1516" spans="1:4" x14ac:dyDescent="0.25">
      <c r="A1516" t="str">
        <f>T("   903289")</f>
        <v xml:space="preserve">   903289</v>
      </c>
      <c r="B1516" t="s">
        <v>503</v>
      </c>
      <c r="C1516">
        <v>8918251</v>
      </c>
      <c r="D1516">
        <v>293</v>
      </c>
    </row>
    <row r="1517" spans="1:4" x14ac:dyDescent="0.25">
      <c r="A1517" t="str">
        <f>T("   940320")</f>
        <v xml:space="preserve">   940320</v>
      </c>
      <c r="B1517" t="str">
        <f>T("   Meubles en métal, sauf meubles de bureau, sièges et mobilier pour la médecine, la chirurgie, l'art dentaire ou vétérinaire")</f>
        <v xml:space="preserve">   Meubles en métal, sauf meubles de bureau, sièges et mobilier pour la médecine, la chirurgie, l'art dentaire ou vétérinaire</v>
      </c>
      <c r="C1517">
        <v>1168556</v>
      </c>
      <c r="D1517">
        <v>9039</v>
      </c>
    </row>
    <row r="1518" spans="1:4" x14ac:dyDescent="0.25">
      <c r="A1518" t="str">
        <f>T("   940340")</f>
        <v xml:space="preserve">   940340</v>
      </c>
      <c r="B1518" t="str">
        <f>T("   Meubles de cuisine, en bois (sauf sièges)")</f>
        <v xml:space="preserve">   Meubles de cuisine, en bois (sauf sièges)</v>
      </c>
      <c r="C1518">
        <v>179955</v>
      </c>
      <c r="D1518">
        <v>90</v>
      </c>
    </row>
    <row r="1519" spans="1:4" x14ac:dyDescent="0.25">
      <c r="A1519" t="str">
        <f>T("   940360")</f>
        <v xml:space="preserve">   940360</v>
      </c>
      <c r="B1519" t="str">
        <f>T("   Meubles en bois (autres que pour bureaux, cuisines ou chambres à coucher et autres que sièges)")</f>
        <v xml:space="preserve">   Meubles en bois (autres que pour bureaux, cuisines ou chambres à coucher et autres que sièges)</v>
      </c>
      <c r="C1519">
        <v>716500</v>
      </c>
      <c r="D1519">
        <v>4500</v>
      </c>
    </row>
    <row r="1520" spans="1:4" x14ac:dyDescent="0.25">
      <c r="A1520" t="str">
        <f>T("   940380")</f>
        <v xml:space="preserve">   940380</v>
      </c>
      <c r="B1520" t="str">
        <f>T("   Meubles en rotin, osier, bambou ou autres matières (sauf métal, bois et matières plastiques)")</f>
        <v xml:space="preserve">   Meubles en rotin, osier, bambou ou autres matières (sauf métal, bois et matières plastiques)</v>
      </c>
      <c r="C1520">
        <v>2500000</v>
      </c>
      <c r="D1520">
        <v>4500</v>
      </c>
    </row>
    <row r="1521" spans="1:4" x14ac:dyDescent="0.25">
      <c r="A1521" t="str">
        <f>T("   940560")</f>
        <v xml:space="preserve">   940560</v>
      </c>
      <c r="B1521" t="str">
        <f>T("   Lampes-réclames, enseignes lumineuses, plaques indicatrices lumineuses et articles simil., possédant une source d'éclairage fixée à demeure")</f>
        <v xml:space="preserve">   Lampes-réclames, enseignes lumineuses, plaques indicatrices lumineuses et articles simil., possédant une source d'éclairage fixée à demeure</v>
      </c>
      <c r="C1521">
        <v>9897321</v>
      </c>
      <c r="D1521">
        <v>795</v>
      </c>
    </row>
    <row r="1522" spans="1:4" x14ac:dyDescent="0.25">
      <c r="A1522" t="str">
        <f>T("   950410")</f>
        <v xml:space="preserve">   950410</v>
      </c>
      <c r="B1522" t="str">
        <f>T("   Jeux vidéo des types utilisables avec un récepteur de télévision")</f>
        <v xml:space="preserve">   Jeux vidéo des types utilisables avec un récepteur de télévision</v>
      </c>
      <c r="C1522">
        <v>550000</v>
      </c>
      <c r="D1522">
        <v>2700</v>
      </c>
    </row>
    <row r="1523" spans="1:4" x14ac:dyDescent="0.25">
      <c r="A1523" t="str">
        <f>T("   950662")</f>
        <v xml:space="preserve">   950662</v>
      </c>
      <c r="B1523" t="str">
        <f>T("   Ballons et balles gonflables")</f>
        <v xml:space="preserve">   Ballons et balles gonflables</v>
      </c>
      <c r="C1523">
        <v>227579</v>
      </c>
      <c r="D1523">
        <v>275</v>
      </c>
    </row>
    <row r="1524" spans="1:4" x14ac:dyDescent="0.25">
      <c r="A1524" t="str">
        <f>T("   960810")</f>
        <v xml:space="preserve">   960810</v>
      </c>
      <c r="B1524" t="str">
        <f>T("   Stylos et crayons à bille")</f>
        <v xml:space="preserve">   Stylos et crayons à bille</v>
      </c>
      <c r="C1524">
        <v>7348517</v>
      </c>
      <c r="D1524">
        <v>115</v>
      </c>
    </row>
    <row r="1525" spans="1:4" x14ac:dyDescent="0.25">
      <c r="A1525" t="str">
        <f>T("   960839")</f>
        <v xml:space="preserve">   960839</v>
      </c>
      <c r="B1525" t="str">
        <f>T("   Stylos à plume et autres stylos (autres qu'à dessiner à l'encre de Chine)")</f>
        <v xml:space="preserve">   Stylos à plume et autres stylos (autres qu'à dessiner à l'encre de Chine)</v>
      </c>
      <c r="C1525">
        <v>73579</v>
      </c>
      <c r="D1525">
        <v>100</v>
      </c>
    </row>
    <row r="1526" spans="1:4" x14ac:dyDescent="0.25">
      <c r="A1526" t="str">
        <f>T("   961220")</f>
        <v xml:space="preserve">   961220</v>
      </c>
      <c r="B1526" t="str">
        <f>T("   Tampons encreurs, même imprégnés, avec ou sans boîte")</f>
        <v xml:space="preserve">   Tampons encreurs, même imprégnés, avec ou sans boîte</v>
      </c>
      <c r="C1526">
        <v>345132</v>
      </c>
      <c r="D1526">
        <v>18</v>
      </c>
    </row>
    <row r="1527" spans="1:4" x14ac:dyDescent="0.25">
      <c r="A1527" t="str">
        <f>T("CI")</f>
        <v>CI</v>
      </c>
      <c r="B1527" t="str">
        <f>T("Côte d'Ivoire")</f>
        <v>Côte d'Ivoire</v>
      </c>
    </row>
    <row r="1528" spans="1:4" x14ac:dyDescent="0.25">
      <c r="A1528" t="str">
        <f>T("   ZZ_Total_Produit_SH6")</f>
        <v xml:space="preserve">   ZZ_Total_Produit_SH6</v>
      </c>
      <c r="B1528" t="str">
        <f>T("   ZZ_Total_Produit_SH6")</f>
        <v xml:space="preserve">   ZZ_Total_Produit_SH6</v>
      </c>
      <c r="C1528">
        <v>24617324202.816002</v>
      </c>
      <c r="D1528">
        <v>54766109.82</v>
      </c>
    </row>
    <row r="1529" spans="1:4" x14ac:dyDescent="0.25">
      <c r="A1529" t="str">
        <f>T("   070490")</f>
        <v xml:space="preserve">   070490</v>
      </c>
      <c r="B1529" t="str">
        <f>T("   Choux, choux frisés, choux-raves et produits comestibles simil. du genre 'Brassica', à l'état frais ou réfrigéré (à l'excl. des choux-fleurs, des choux-fleurs brocolis et des choux de Bruxelles)")</f>
        <v xml:space="preserve">   Choux, choux frisés, choux-raves et produits comestibles simil. du genre 'Brassica', à l'état frais ou réfrigéré (à l'excl. des choux-fleurs, des choux-fleurs brocolis et des choux de Bruxelles)</v>
      </c>
      <c r="C1529">
        <v>500000</v>
      </c>
      <c r="D1529">
        <v>55820</v>
      </c>
    </row>
    <row r="1530" spans="1:4" x14ac:dyDescent="0.25">
      <c r="A1530" t="str">
        <f>T("   151110")</f>
        <v xml:space="preserve">   151110</v>
      </c>
      <c r="B1530" t="str">
        <f>T("   Huile de palme, brute")</f>
        <v xml:space="preserve">   Huile de palme, brute</v>
      </c>
      <c r="C1530">
        <v>7500000</v>
      </c>
      <c r="D1530">
        <v>30000</v>
      </c>
    </row>
    <row r="1531" spans="1:4" x14ac:dyDescent="0.25">
      <c r="A1531" t="str">
        <f>T("   151190")</f>
        <v xml:space="preserve">   151190</v>
      </c>
      <c r="B1531" t="str">
        <f>T("   Huile de palme et ses fractions, même raffinées, mais non chimiquement modifiées (à l'excl. de l'huile de palme brute)")</f>
        <v xml:space="preserve">   Huile de palme et ses fractions, même raffinées, mais non chimiquement modifiées (à l'excl. de l'huile de palme brute)</v>
      </c>
      <c r="C1531">
        <v>10065422.816</v>
      </c>
      <c r="D1531">
        <v>22000</v>
      </c>
    </row>
    <row r="1532" spans="1:4" x14ac:dyDescent="0.25">
      <c r="A1532" t="str">
        <f>T("   151710")</f>
        <v xml:space="preserve">   151710</v>
      </c>
      <c r="B1532" t="str">
        <f>T("   Margarine (à l'excl. de la margarine liquide)")</f>
        <v xml:space="preserve">   Margarine (à l'excl. de la margarine liquide)</v>
      </c>
      <c r="C1532">
        <v>59921062</v>
      </c>
      <c r="D1532">
        <v>47711</v>
      </c>
    </row>
    <row r="1533" spans="1:4" x14ac:dyDescent="0.25">
      <c r="A1533" t="str">
        <f>T("   170410")</f>
        <v xml:space="preserve">   170410</v>
      </c>
      <c r="B1533" t="str">
        <f>T("   Gommes à mâcher [chewing-gum], même enrobées de sucre")</f>
        <v xml:space="preserve">   Gommes à mâcher [chewing-gum], même enrobées de sucre</v>
      </c>
      <c r="C1533">
        <v>6990716</v>
      </c>
      <c r="D1533">
        <v>13320</v>
      </c>
    </row>
    <row r="1534" spans="1:4" x14ac:dyDescent="0.25">
      <c r="A1534" t="str">
        <f>T("   170490")</f>
        <v xml:space="preserve">   170490</v>
      </c>
      <c r="B1534" t="str">
        <f>T("   Sucreries sans cacao, y.c. le chocolat blanc (à l'excl. des gommes à mâcher)")</f>
        <v xml:space="preserve">   Sucreries sans cacao, y.c. le chocolat blanc (à l'excl. des gommes à mâcher)</v>
      </c>
      <c r="C1534">
        <v>12012145</v>
      </c>
      <c r="D1534">
        <v>33615</v>
      </c>
    </row>
    <row r="1535" spans="1:4" x14ac:dyDescent="0.25">
      <c r="A1535" t="str">
        <f>T("   190219")</f>
        <v xml:space="preserve">   190219</v>
      </c>
      <c r="B1535" t="str">
        <f>T("   PÂTES ALIMENTAIRES NON-CUITES NI FARCIES NI AUTREMENT PRÉPARÉES, NE CONTENANT PAS D'OEUFS")</f>
        <v xml:space="preserve">   PÂTES ALIMENTAIRES NON-CUITES NI FARCIES NI AUTREMENT PRÉPARÉES, NE CONTENANT PAS D'OEUFS</v>
      </c>
      <c r="C1535">
        <v>421928429</v>
      </c>
      <c r="D1535">
        <v>1229938</v>
      </c>
    </row>
    <row r="1536" spans="1:4" x14ac:dyDescent="0.25">
      <c r="A1536" t="str">
        <f>T("   190230")</f>
        <v xml:space="preserve">   190230</v>
      </c>
      <c r="B1536" t="str">
        <f>T("   Pâtes alimentaires, cuites ou autrement préparées (à l'excl. des pâtes alimentaires farcies)")</f>
        <v xml:space="preserve">   Pâtes alimentaires, cuites ou autrement préparées (à l'excl. des pâtes alimentaires farcies)</v>
      </c>
      <c r="C1536">
        <v>13750000</v>
      </c>
      <c r="D1536">
        <v>50000</v>
      </c>
    </row>
    <row r="1537" spans="1:4" x14ac:dyDescent="0.25">
      <c r="A1537" t="str">
        <f>T("   200990")</f>
        <v xml:space="preserve">   200990</v>
      </c>
      <c r="B1537" t="str">
        <f>T("   MÉLANGES DE JUS DE FRUITS - Y.C. LES MOÛTS DE RAISIN - ET DE JUS DE LÉGUMES, NON-FERMENTÉS, SANS ADDITION D'ALCOOL, AVEC OU SANS ADDITION DE SUCRE OU D'AUTRES ÉDULCORANTS")</f>
        <v xml:space="preserve">   MÉLANGES DE JUS DE FRUITS - Y.C. LES MOÛTS DE RAISIN - ET DE JUS DE LÉGUMES, NON-FERMENTÉS, SANS ADDITION D'ALCOOL, AVEC OU SANS ADDITION DE SUCRE OU D'AUTRES ÉDULCORANTS</v>
      </c>
      <c r="C1537">
        <v>4308518</v>
      </c>
      <c r="D1537">
        <v>46050</v>
      </c>
    </row>
    <row r="1538" spans="1:4" x14ac:dyDescent="0.25">
      <c r="A1538" t="str">
        <f>T("   210111")</f>
        <v xml:space="preserve">   210111</v>
      </c>
      <c r="B1538" t="str">
        <f>T("   Extraits, essences et concentrés de café")</f>
        <v xml:space="preserve">   Extraits, essences et concentrés de café</v>
      </c>
      <c r="C1538">
        <v>247254659</v>
      </c>
      <c r="D1538">
        <v>36137</v>
      </c>
    </row>
    <row r="1539" spans="1:4" x14ac:dyDescent="0.25">
      <c r="A1539" t="str">
        <f>T("   210390")</f>
        <v xml:space="preserve">   210390</v>
      </c>
      <c r="B1539" t="str">
        <f>T("   Préparations pour sauces et sauces préparées; condiments et assaisonnements, composés (à l'excl. de la sauce de soja, du tomato ketchup et autres sauces tomates, de la farine de moutarde et de la moutarde préparée)")</f>
        <v xml:space="preserve">   Préparations pour sauces et sauces préparées; condiments et assaisonnements, composés (à l'excl. de la sauce de soja, du tomato ketchup et autres sauces tomates, de la farine de moutarde et de la moutarde préparée)</v>
      </c>
      <c r="C1539">
        <v>3707925</v>
      </c>
      <c r="D1539">
        <v>1692</v>
      </c>
    </row>
    <row r="1540" spans="1:4" x14ac:dyDescent="0.25">
      <c r="A1540" t="str">
        <f>T("   210410")</f>
        <v xml:space="preserve">   210410</v>
      </c>
      <c r="B1540" t="str">
        <f>T("   Préparations pour soupes, potages ou bouillons; soupes, potages ou bouillons préparés")</f>
        <v xml:space="preserve">   Préparations pour soupes, potages ou bouillons; soupes, potages ou bouillons préparés</v>
      </c>
      <c r="C1540">
        <v>120288950</v>
      </c>
      <c r="D1540">
        <v>87302</v>
      </c>
    </row>
    <row r="1541" spans="1:4" x14ac:dyDescent="0.25">
      <c r="A1541" t="str">
        <f>T("   210690")</f>
        <v xml:space="preserve">   210690</v>
      </c>
      <c r="B1541" t="str">
        <f>T("   Préparations alimentaires, n.d.a.")</f>
        <v xml:space="preserve">   Préparations alimentaires, n.d.a.</v>
      </c>
      <c r="C1541">
        <v>196788</v>
      </c>
      <c r="D1541">
        <v>350</v>
      </c>
    </row>
    <row r="1542" spans="1:4" x14ac:dyDescent="0.25">
      <c r="A1542" t="str">
        <f>T("   220300")</f>
        <v xml:space="preserve">   220300</v>
      </c>
      <c r="B1542" t="str">
        <f>T("   Bières de malt")</f>
        <v xml:space="preserve">   Bières de malt</v>
      </c>
      <c r="C1542">
        <v>5847324</v>
      </c>
      <c r="D1542">
        <v>33700</v>
      </c>
    </row>
    <row r="1543" spans="1:4" x14ac:dyDescent="0.25">
      <c r="A1543" t="str">
        <f>T("   240220")</f>
        <v xml:space="preserve">   240220</v>
      </c>
      <c r="B1543" t="str">
        <f>T("   Cigarettes contenant du tabac")</f>
        <v xml:space="preserve">   Cigarettes contenant du tabac</v>
      </c>
      <c r="C1543">
        <v>599992353</v>
      </c>
      <c r="D1543">
        <v>128000</v>
      </c>
    </row>
    <row r="1544" spans="1:4" x14ac:dyDescent="0.25">
      <c r="A1544" t="str">
        <f>T("   252329")</f>
        <v xml:space="preserve">   252329</v>
      </c>
      <c r="B1544" t="str">
        <f>T("   Ciment Portland normal ou modéré (à l'excl. des ciments Portland blancs, même colorés artificiellement)")</f>
        <v xml:space="preserve">   Ciment Portland normal ou modéré (à l'excl. des ciments Portland blancs, même colorés artificiellement)</v>
      </c>
      <c r="C1544">
        <v>152700000</v>
      </c>
      <c r="D1544">
        <v>2545000</v>
      </c>
    </row>
    <row r="1545" spans="1:4" x14ac:dyDescent="0.25">
      <c r="A1545" t="str">
        <f>T("   271011")</f>
        <v xml:space="preserve">   271011</v>
      </c>
      <c r="B1545" t="str">
        <f>T("   HUILES LÉGÈRES ET PRÉPARATIONS DE PÉTROLE OU DE MINÉRAUX BITUMINEUX DISTILLANT EN VOLUME, Y.C. LES PERTES, &gt;= 90% À 210°C, D'APRÈS LA MÉTHODE ASTM D 86")</f>
        <v xml:space="preserve">   HUILES LÉGÈRES ET PRÉPARATIONS DE PÉTROLE OU DE MINÉRAUX BITUMINEUX DISTILLANT EN VOLUME, Y.C. LES PERTES, &gt;= 90% À 210°C, D'APRÈS LA MÉTHODE ASTM D 86</v>
      </c>
      <c r="C1545">
        <v>2406357337</v>
      </c>
      <c r="D1545">
        <v>11177267</v>
      </c>
    </row>
    <row r="1546" spans="1:4" x14ac:dyDescent="0.25">
      <c r="A1546" t="str">
        <f>T("   271019")</f>
        <v xml:space="preserve">   271019</v>
      </c>
      <c r="B1546" t="str">
        <f>T("   Huiles moyennes et préparations, de pétrole ou de minéraux bitumineux, n.d.a.")</f>
        <v xml:space="preserve">   Huiles moyennes et préparations, de pétrole ou de minéraux bitumineux, n.d.a.</v>
      </c>
      <c r="C1546">
        <v>9355579470</v>
      </c>
      <c r="D1546">
        <v>28081733</v>
      </c>
    </row>
    <row r="1547" spans="1:4" x14ac:dyDescent="0.25">
      <c r="A1547" t="str">
        <f>T("   271320")</f>
        <v xml:space="preserve">   271320</v>
      </c>
      <c r="B1547" t="str">
        <f>T("   Bitume de pétrole")</f>
        <v xml:space="preserve">   Bitume de pétrole</v>
      </c>
      <c r="C1547">
        <v>149969817</v>
      </c>
      <c r="D1547">
        <v>351840</v>
      </c>
    </row>
    <row r="1548" spans="1:4" x14ac:dyDescent="0.25">
      <c r="A1548" t="str">
        <f>T("   271500")</f>
        <v xml:space="preserve">   271500</v>
      </c>
      <c r="B1548" t="str">
        <f>T("   Mastics bitumineux, 'cut-backs' et autres mélanges bitumineux à base d'asphalte ou de bitume naturels, de bitume de pétrole, de goudron minéral ou de brai de goudron minéral")</f>
        <v xml:space="preserve">   Mastics bitumineux, 'cut-backs' et autres mélanges bitumineux à base d'asphalte ou de bitume naturels, de bitume de pétrole, de goudron minéral ou de brai de goudron minéral</v>
      </c>
      <c r="C1548">
        <v>6297558</v>
      </c>
      <c r="D1548">
        <v>29136</v>
      </c>
    </row>
    <row r="1549" spans="1:4" x14ac:dyDescent="0.25">
      <c r="A1549" t="str">
        <f>T("   280429")</f>
        <v xml:space="preserve">   280429</v>
      </c>
      <c r="B1549" t="str">
        <f>T("   Gaz rares (à l'excl. de l'argon)")</f>
        <v xml:space="preserve">   Gaz rares (à l'excl. de l'argon)</v>
      </c>
      <c r="C1549">
        <v>857350</v>
      </c>
      <c r="D1549">
        <v>300</v>
      </c>
    </row>
    <row r="1550" spans="1:4" x14ac:dyDescent="0.25">
      <c r="A1550" t="str">
        <f>T("   280440")</f>
        <v xml:space="preserve">   280440</v>
      </c>
      <c r="B1550" t="str">
        <f>T("   Oxygène")</f>
        <v xml:space="preserve">   Oxygène</v>
      </c>
      <c r="C1550">
        <v>6137600</v>
      </c>
      <c r="D1550">
        <v>17325</v>
      </c>
    </row>
    <row r="1551" spans="1:4" x14ac:dyDescent="0.25">
      <c r="A1551" t="str">
        <f>T("   290110")</f>
        <v xml:space="preserve">   290110</v>
      </c>
      <c r="B1551" t="str">
        <f>T("   Hydrocarbures acycliques, saturés")</f>
        <v xml:space="preserve">   Hydrocarbures acycliques, saturés</v>
      </c>
      <c r="C1551">
        <v>173976656</v>
      </c>
      <c r="D1551">
        <v>148253</v>
      </c>
    </row>
    <row r="1552" spans="1:4" x14ac:dyDescent="0.25">
      <c r="A1552" t="str">
        <f>T("   320890")</f>
        <v xml:space="preserve">   320890</v>
      </c>
      <c r="B1552" t="s">
        <v>96</v>
      </c>
      <c r="C1552">
        <v>21889134</v>
      </c>
      <c r="D1552">
        <v>53062</v>
      </c>
    </row>
    <row r="1553" spans="1:4" x14ac:dyDescent="0.25">
      <c r="A1553" t="str">
        <f>T("   320910")</f>
        <v xml:space="preserve">   320910</v>
      </c>
      <c r="B1553" t="str">
        <f>T("   Peintures et vernis à base de polymères acryliques ou vinyliques, dispersés ou dissous dans un milieu aqueux")</f>
        <v xml:space="preserve">   Peintures et vernis à base de polymères acryliques ou vinyliques, dispersés ou dissous dans un milieu aqueux</v>
      </c>
      <c r="C1553">
        <v>14199466</v>
      </c>
      <c r="D1553">
        <v>20947</v>
      </c>
    </row>
    <row r="1554" spans="1:4" x14ac:dyDescent="0.25">
      <c r="A1554" t="str">
        <f>T("   321290")</f>
        <v xml:space="preserve">   321290</v>
      </c>
      <c r="B1554" t="s">
        <v>97</v>
      </c>
      <c r="C1554">
        <v>6380422</v>
      </c>
      <c r="D1554">
        <v>6350</v>
      </c>
    </row>
    <row r="1555" spans="1:4" x14ac:dyDescent="0.25">
      <c r="A1555" t="str">
        <f>T("   321519")</f>
        <v xml:space="preserve">   321519</v>
      </c>
      <c r="B1555" t="str">
        <f>T("   Encres d'imprimerie, même concentrées ou sous formes solides (à l'excl. des encres noires)")</f>
        <v xml:space="preserve">   Encres d'imprimerie, même concentrées ou sous formes solides (à l'excl. des encres noires)</v>
      </c>
      <c r="C1555">
        <v>6292143</v>
      </c>
      <c r="D1555">
        <v>284</v>
      </c>
    </row>
    <row r="1556" spans="1:4" x14ac:dyDescent="0.25">
      <c r="A1556" t="str">
        <f>T("   330300")</f>
        <v xml:space="preserve">   330300</v>
      </c>
      <c r="B1556" t="str">
        <f>T("   Parfums et eaux de toilette (à l'excl. des préparations pour l'après-rasage [lotions after-shave] et des désodorisants corporels)")</f>
        <v xml:space="preserve">   Parfums et eaux de toilette (à l'excl. des préparations pour l'après-rasage [lotions after-shave] et des désodorisants corporels)</v>
      </c>
      <c r="C1556">
        <v>38423878</v>
      </c>
      <c r="D1556">
        <v>85827</v>
      </c>
    </row>
    <row r="1557" spans="1:4" x14ac:dyDescent="0.25">
      <c r="A1557" t="str">
        <f>T("   330430")</f>
        <v xml:space="preserve">   330430</v>
      </c>
      <c r="B1557" t="str">
        <f>T("   Préparations pour manucures ou pédicures")</f>
        <v xml:space="preserve">   Préparations pour manucures ou pédicures</v>
      </c>
      <c r="C1557">
        <v>835221</v>
      </c>
      <c r="D1557">
        <v>663</v>
      </c>
    </row>
    <row r="1558" spans="1:4" x14ac:dyDescent="0.25">
      <c r="A1558" t="str">
        <f>T("   330491")</f>
        <v xml:space="preserve">   330491</v>
      </c>
      <c r="B1558" t="str">
        <f>T("   Poudres pour le maquillage ou l'entretien ou les soins de la peau, y.c. les poudres pour bébés et les poudres compactes (à l'excl. des médicaments)")</f>
        <v xml:space="preserve">   Poudres pour le maquillage ou l'entretien ou les soins de la peau, y.c. les poudres pour bébés et les poudres compactes (à l'excl. des médicaments)</v>
      </c>
      <c r="C1558">
        <v>2586761</v>
      </c>
      <c r="D1558">
        <v>8400</v>
      </c>
    </row>
    <row r="1559" spans="1:4" x14ac:dyDescent="0.25">
      <c r="A1559" t="str">
        <f>T("   330499")</f>
        <v xml:space="preserve">   330499</v>
      </c>
      <c r="B1559" t="s">
        <v>100</v>
      </c>
      <c r="C1559">
        <v>123406008</v>
      </c>
      <c r="D1559">
        <v>350826</v>
      </c>
    </row>
    <row r="1560" spans="1:4" x14ac:dyDescent="0.25">
      <c r="A1560" t="str">
        <f>T("   330590")</f>
        <v xml:space="preserve">   330590</v>
      </c>
      <c r="B1560" t="str">
        <f>T("   PRÉPARATIONS CAPILLAIRES (À L'EXCL. DES SHAMPOOINGS, DES LAQUES POUR CHEVEUX ET DES PRÉPARATIONS POUR L'ONDULATION OU LE DÉFRISAGE PERMANENTS)")</f>
        <v xml:space="preserve">   PRÉPARATIONS CAPILLAIRES (À L'EXCL. DES SHAMPOOINGS, DES LAQUES POUR CHEVEUX ET DES PRÉPARATIONS POUR L'ONDULATION OU LE DÉFRISAGE PERMANENTS)</v>
      </c>
      <c r="C1560">
        <v>24235273</v>
      </c>
      <c r="D1560">
        <v>50866</v>
      </c>
    </row>
    <row r="1561" spans="1:4" x14ac:dyDescent="0.25">
      <c r="A1561" t="str">
        <f>T("   330610")</f>
        <v xml:space="preserve">   330610</v>
      </c>
      <c r="B1561" t="str">
        <f>T("   Dentifrices, préparés, même des types utilisés par les dentistes")</f>
        <v xml:space="preserve">   Dentifrices, préparés, même des types utilisés par les dentistes</v>
      </c>
      <c r="C1561">
        <v>8896334</v>
      </c>
      <c r="D1561">
        <v>1886</v>
      </c>
    </row>
    <row r="1562" spans="1:4" x14ac:dyDescent="0.25">
      <c r="A1562" t="str">
        <f>T("   330720")</f>
        <v xml:space="preserve">   330720</v>
      </c>
      <c r="B1562" t="str">
        <f>T("   Désodorisants corporels et antisudoraux, préparés")</f>
        <v xml:space="preserve">   Désodorisants corporels et antisudoraux, préparés</v>
      </c>
      <c r="C1562">
        <v>611801</v>
      </c>
      <c r="D1562">
        <v>1422</v>
      </c>
    </row>
    <row r="1563" spans="1:4" x14ac:dyDescent="0.25">
      <c r="A1563" t="str">
        <f>T("   340111")</f>
        <v xml:space="preserve">   340111</v>
      </c>
      <c r="B1563" t="s">
        <v>101</v>
      </c>
      <c r="C1563">
        <v>11735378</v>
      </c>
      <c r="D1563">
        <v>23400</v>
      </c>
    </row>
    <row r="1564" spans="1:4" x14ac:dyDescent="0.25">
      <c r="A1564" t="str">
        <f>T("   340119")</f>
        <v xml:space="preserve">   340119</v>
      </c>
      <c r="B1564" t="s">
        <v>102</v>
      </c>
      <c r="C1564">
        <v>452927582</v>
      </c>
      <c r="D1564">
        <v>906963</v>
      </c>
    </row>
    <row r="1565" spans="1:4" x14ac:dyDescent="0.25">
      <c r="A1565" t="str">
        <f>T("   340130")</f>
        <v xml:space="preserve">   340130</v>
      </c>
      <c r="B1565" t="str">
        <f>T("   Produits et préparations organiques tensio-actifs destinés au lavage de la peau, sous forme de liquide ou de crème, conditionnés pour la vente au détail, même contenant  du savon")</f>
        <v xml:space="preserve">   Produits et préparations organiques tensio-actifs destinés au lavage de la peau, sous forme de liquide ou de crème, conditionnés pour la vente au détail, même contenant  du savon</v>
      </c>
      <c r="C1565">
        <v>768800</v>
      </c>
      <c r="D1565">
        <v>811</v>
      </c>
    </row>
    <row r="1566" spans="1:4" x14ac:dyDescent="0.25">
      <c r="A1566" t="str">
        <f>T("   340220")</f>
        <v xml:space="preserve">   340220</v>
      </c>
      <c r="B1566" t="s">
        <v>103</v>
      </c>
      <c r="C1566">
        <v>52721696</v>
      </c>
      <c r="D1566">
        <v>79657</v>
      </c>
    </row>
    <row r="1567" spans="1:4" x14ac:dyDescent="0.25">
      <c r="A1567" t="str">
        <f>T("   350691")</f>
        <v xml:space="preserve">   350691</v>
      </c>
      <c r="B1567" t="str">
        <f>T("   Adhésifs à base de polymères du n° 3901 à 3913 ou de caoutchouc (à l'excl. des produits conditionnés pour la vente au détail comme colles ou adhésifs, d'un poids net &lt;= 1 kg)")</f>
        <v xml:space="preserve">   Adhésifs à base de polymères du n° 3901 à 3913 ou de caoutchouc (à l'excl. des produits conditionnés pour la vente au détail comme colles ou adhésifs, d'un poids net &lt;= 1 kg)</v>
      </c>
      <c r="C1567">
        <v>29658119</v>
      </c>
      <c r="D1567">
        <v>16800</v>
      </c>
    </row>
    <row r="1568" spans="1:4" x14ac:dyDescent="0.25">
      <c r="A1568" t="str">
        <f>T("   370295")</f>
        <v xml:space="preserve">   370295</v>
      </c>
      <c r="B1568" t="s">
        <v>116</v>
      </c>
      <c r="C1568">
        <v>5215558</v>
      </c>
      <c r="D1568">
        <v>1000</v>
      </c>
    </row>
    <row r="1569" spans="1:4" x14ac:dyDescent="0.25">
      <c r="A1569" t="str">
        <f>T("   370790")</f>
        <v xml:space="preserve">   370790</v>
      </c>
      <c r="B1569" t="s">
        <v>117</v>
      </c>
      <c r="C1569">
        <v>1010244</v>
      </c>
      <c r="D1569">
        <v>252</v>
      </c>
    </row>
    <row r="1570" spans="1:4" x14ac:dyDescent="0.25">
      <c r="A1570" t="str">
        <f>T("   380810")</f>
        <v xml:space="preserve">   380810</v>
      </c>
      <c r="B1570" t="str">
        <f>T("   Insecticides présentés dans des formes ou emballages de vente au détail ou à l'état de préparations ou sous forme d'articles")</f>
        <v xml:space="preserve">   Insecticides présentés dans des formes ou emballages de vente au détail ou à l'état de préparations ou sous forme d'articles</v>
      </c>
      <c r="C1570">
        <v>230608</v>
      </c>
      <c r="D1570">
        <v>378</v>
      </c>
    </row>
    <row r="1571" spans="1:4" x14ac:dyDescent="0.25">
      <c r="A1571" t="str">
        <f>T("   380840")</f>
        <v xml:space="preserve">   380840</v>
      </c>
      <c r="B1571" t="str">
        <f>T("   Désinfectants et produits simil., présentés dans des formes ou emballages de vente au détail ou à l'état de préparations ou sous forme d'articles")</f>
        <v xml:space="preserve">   Désinfectants et produits simil., présentés dans des formes ou emballages de vente au détail ou à l'état de préparations ou sous forme d'articles</v>
      </c>
      <c r="C1571">
        <v>2026917</v>
      </c>
      <c r="D1571">
        <v>5422</v>
      </c>
    </row>
    <row r="1572" spans="1:4" x14ac:dyDescent="0.25">
      <c r="A1572" t="str">
        <f>T("   381400")</f>
        <v xml:space="preserve">   381400</v>
      </c>
      <c r="B1572" t="str">
        <f>T("   Solvants et diluants organiques composites, n.d.a.; préparations conçues pour enlever les peintures ou les vernis (à l'excl. des dissolvants pour vernis à ongles)")</f>
        <v xml:space="preserve">   Solvants et diluants organiques composites, n.d.a.; préparations conçues pour enlever les peintures ou les vernis (à l'excl. des dissolvants pour vernis à ongles)</v>
      </c>
      <c r="C1572">
        <v>82304</v>
      </c>
      <c r="D1572">
        <v>5</v>
      </c>
    </row>
    <row r="1573" spans="1:4" x14ac:dyDescent="0.25">
      <c r="A1573" t="str">
        <f>T("   391721")</f>
        <v xml:space="preserve">   391721</v>
      </c>
      <c r="B1573" t="str">
        <f>T("   TUBES ET TUYAUX RIGIDES, EN POLYMÈRES DE L'ÉTHYLÈNE")</f>
        <v xml:space="preserve">   TUBES ET TUYAUX RIGIDES, EN POLYMÈRES DE L'ÉTHYLÈNE</v>
      </c>
      <c r="C1573">
        <v>6300355</v>
      </c>
      <c r="D1573">
        <v>7079</v>
      </c>
    </row>
    <row r="1574" spans="1:4" x14ac:dyDescent="0.25">
      <c r="A1574" t="str">
        <f>T("   391723")</f>
        <v xml:space="preserve">   391723</v>
      </c>
      <c r="B1574" t="str">
        <f>T("   TUBES ET TUYAUX RIGIDES, EN POLYMÈRES DU CHLORURE DE VINYLE")</f>
        <v xml:space="preserve">   TUBES ET TUYAUX RIGIDES, EN POLYMÈRES DU CHLORURE DE VINYLE</v>
      </c>
      <c r="C1574">
        <v>33113956</v>
      </c>
      <c r="D1574">
        <v>67173</v>
      </c>
    </row>
    <row r="1575" spans="1:4" x14ac:dyDescent="0.25">
      <c r="A1575" t="str">
        <f>T("   391740")</f>
        <v xml:space="preserve">   391740</v>
      </c>
      <c r="B1575" t="str">
        <f>T("   Accessoires pour tubes ou tuyaux [joints, coudes, raccords, par exemple], en matières plastiques")</f>
        <v xml:space="preserve">   Accessoires pour tubes ou tuyaux [joints, coudes, raccords, par exemple], en matières plastiques</v>
      </c>
      <c r="C1575">
        <v>22954287</v>
      </c>
      <c r="D1575">
        <v>18575</v>
      </c>
    </row>
    <row r="1576" spans="1:4" x14ac:dyDescent="0.25">
      <c r="A1576" t="str">
        <f>T("   392010")</f>
        <v xml:space="preserve">   392010</v>
      </c>
      <c r="B1576" t="s">
        <v>131</v>
      </c>
      <c r="C1576">
        <v>68581650</v>
      </c>
      <c r="D1576">
        <v>38282</v>
      </c>
    </row>
    <row r="1577" spans="1:4" x14ac:dyDescent="0.25">
      <c r="A1577" t="str">
        <f>T("   392321")</f>
        <v xml:space="preserve">   392321</v>
      </c>
      <c r="B1577" t="str">
        <f>T("   Sacs, sachets, pochettes et cornets, en polymères de l'éthylène")</f>
        <v xml:space="preserve">   Sacs, sachets, pochettes et cornets, en polymères de l'éthylène</v>
      </c>
      <c r="C1577">
        <v>231647558</v>
      </c>
      <c r="D1577">
        <v>147416</v>
      </c>
    </row>
    <row r="1578" spans="1:4" x14ac:dyDescent="0.25">
      <c r="A1578" t="str">
        <f>T("   392329")</f>
        <v xml:space="preserve">   392329</v>
      </c>
      <c r="B1578" t="str">
        <f>T("   Sacs, sachets, pochettes et cornets, en matières plastiques (autres que les polymères de l'éthylène)")</f>
        <v xml:space="preserve">   Sacs, sachets, pochettes et cornets, en matières plastiques (autres que les polymères de l'éthylène)</v>
      </c>
      <c r="C1578">
        <v>61401231</v>
      </c>
      <c r="D1578">
        <v>37442</v>
      </c>
    </row>
    <row r="1579" spans="1:4" x14ac:dyDescent="0.25">
      <c r="A1579" t="str">
        <f>T("   392330")</f>
        <v xml:space="preserve">   392330</v>
      </c>
      <c r="B1579" t="str">
        <f>T("   Bonbonnes, bouteilles, flacons et articles simil. pour le transport ou l'emballage, en matières plastiques")</f>
        <v xml:space="preserve">   Bonbonnes, bouteilles, flacons et articles simil. pour le transport ou l'emballage, en matières plastiques</v>
      </c>
      <c r="C1579">
        <v>178337078</v>
      </c>
      <c r="D1579">
        <v>120215</v>
      </c>
    </row>
    <row r="1580" spans="1:4" x14ac:dyDescent="0.25">
      <c r="A1580" t="str">
        <f>T("   392410")</f>
        <v xml:space="preserve">   392410</v>
      </c>
      <c r="B1580" t="str">
        <f>T("   Vaisselle et autres articles pour le service de la table ou de la cuisine, en matières plastiques")</f>
        <v xml:space="preserve">   Vaisselle et autres articles pour le service de la table ou de la cuisine, en matières plastiques</v>
      </c>
      <c r="C1580">
        <v>2437474</v>
      </c>
      <c r="D1580">
        <v>765</v>
      </c>
    </row>
    <row r="1581" spans="1:4" x14ac:dyDescent="0.25">
      <c r="A1581" t="str">
        <f>T("   392490")</f>
        <v xml:space="preserve">   392490</v>
      </c>
      <c r="B1581" t="s">
        <v>145</v>
      </c>
      <c r="C1581">
        <v>77243047</v>
      </c>
      <c r="D1581">
        <v>47850</v>
      </c>
    </row>
    <row r="1582" spans="1:4" x14ac:dyDescent="0.25">
      <c r="A1582" t="str">
        <f>T("   392690")</f>
        <v xml:space="preserve">   392690</v>
      </c>
      <c r="B1582" t="str">
        <f>T("   Ouvrages en matières plastiques et ouvrages en autres matières du n° 3901 à 3914, n.d.a.")</f>
        <v xml:space="preserve">   Ouvrages en matières plastiques et ouvrages en autres matières du n° 3901 à 3914, n.d.a.</v>
      </c>
      <c r="C1582">
        <v>3751526</v>
      </c>
      <c r="D1582">
        <v>515</v>
      </c>
    </row>
    <row r="1583" spans="1:4" x14ac:dyDescent="0.25">
      <c r="A1583" t="str">
        <f>T("   420212")</f>
        <v xml:space="preserve">   420212</v>
      </c>
      <c r="B1583" t="str">
        <f>T("   Malles, valises et mallettes, y.c. les mallettes de toilette et les mallettes porte-documents, serviettes, cartables et contenants simil., à surface extérieure en matières plastiques ou en matières textiles")</f>
        <v xml:space="preserve">   Malles, valises et mallettes, y.c. les mallettes de toilette et les mallettes porte-documents, serviettes, cartables et contenants simil., à surface extérieure en matières plastiques ou en matières textiles</v>
      </c>
      <c r="C1583">
        <v>285500</v>
      </c>
      <c r="D1583">
        <v>300</v>
      </c>
    </row>
    <row r="1584" spans="1:4" x14ac:dyDescent="0.25">
      <c r="A1584" t="str">
        <f>T("   420219")</f>
        <v xml:space="preserve">   420219</v>
      </c>
      <c r="B1584" t="s">
        <v>161</v>
      </c>
      <c r="C1584">
        <v>24926</v>
      </c>
      <c r="D1584">
        <v>40</v>
      </c>
    </row>
    <row r="1585" spans="1:4" x14ac:dyDescent="0.25">
      <c r="A1585" t="str">
        <f>T("   441219")</f>
        <v xml:space="preserve">   441219</v>
      </c>
      <c r="B1585" t="s">
        <v>177</v>
      </c>
      <c r="C1585">
        <v>71479511</v>
      </c>
      <c r="D1585">
        <v>174633</v>
      </c>
    </row>
    <row r="1586" spans="1:4" x14ac:dyDescent="0.25">
      <c r="A1586" t="str">
        <f>T("   441229")</f>
        <v xml:space="preserve">   441229</v>
      </c>
      <c r="B1586" t="s">
        <v>179</v>
      </c>
      <c r="C1586">
        <v>21359882</v>
      </c>
      <c r="D1586">
        <v>46821</v>
      </c>
    </row>
    <row r="1587" spans="1:4" x14ac:dyDescent="0.25">
      <c r="A1587" t="str">
        <f>T("   441299")</f>
        <v xml:space="preserve">   441299</v>
      </c>
      <c r="B1587" t="s">
        <v>180</v>
      </c>
      <c r="C1587">
        <v>6400000</v>
      </c>
      <c r="D1587">
        <v>29000</v>
      </c>
    </row>
    <row r="1588" spans="1:4" x14ac:dyDescent="0.25">
      <c r="A1588" t="str">
        <f>T("   441510")</f>
        <v xml:space="preserve">   441510</v>
      </c>
      <c r="B1588" t="str">
        <f>T("   Caisses, caissettes, cageots, cylindres et emballages simil., en bois; tambours [tourets] pour câbles, en bois")</f>
        <v xml:space="preserve">   Caisses, caissettes, cageots, cylindres et emballages simil., en bois; tambours [tourets] pour câbles, en bois</v>
      </c>
      <c r="C1588">
        <v>108800</v>
      </c>
      <c r="D1588">
        <v>640</v>
      </c>
    </row>
    <row r="1589" spans="1:4" x14ac:dyDescent="0.25">
      <c r="A1589" t="str">
        <f>T("   481910")</f>
        <v xml:space="preserve">   481910</v>
      </c>
      <c r="B1589" t="str">
        <f>T("   Boîtes et caisses en papier ou en carton ondulé")</f>
        <v xml:space="preserve">   Boîtes et caisses en papier ou en carton ondulé</v>
      </c>
      <c r="C1589">
        <v>8182404</v>
      </c>
      <c r="D1589">
        <v>12574.82</v>
      </c>
    </row>
    <row r="1590" spans="1:4" x14ac:dyDescent="0.25">
      <c r="A1590" t="str">
        <f>T("   482290")</f>
        <v xml:space="preserve">   482290</v>
      </c>
      <c r="B1590" t="str">
        <f>T("   Tambours, bobines, fusettes, canettes et supports simil., en pâte à papier, papier ou carton, même perforés ou durcis (à l'excl. des articles des types utilisés pour l'enroulement des fils textiles)")</f>
        <v xml:space="preserve">   Tambours, bobines, fusettes, canettes et supports simil., en pâte à papier, papier ou carton, même perforés ou durcis (à l'excl. des articles des types utilisés pour l'enroulement des fils textiles)</v>
      </c>
      <c r="C1590">
        <v>1254069</v>
      </c>
      <c r="D1590">
        <v>135</v>
      </c>
    </row>
    <row r="1591" spans="1:4" x14ac:dyDescent="0.25">
      <c r="A1591" t="str">
        <f>T("   490199")</f>
        <v xml:space="preserve">   490199</v>
      </c>
      <c r="B1591"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1591">
        <v>332798</v>
      </c>
      <c r="D1591">
        <v>300</v>
      </c>
    </row>
    <row r="1592" spans="1:4" x14ac:dyDescent="0.25">
      <c r="A1592" t="str">
        <f>T("   490700")</f>
        <v xml:space="preserve">   490700</v>
      </c>
      <c r="B1592" t="s">
        <v>220</v>
      </c>
      <c r="C1592">
        <v>36850000</v>
      </c>
      <c r="D1592">
        <v>2588</v>
      </c>
    </row>
    <row r="1593" spans="1:4" x14ac:dyDescent="0.25">
      <c r="A1593" t="str">
        <f>T("   491000")</f>
        <v xml:space="preserve">   491000</v>
      </c>
      <c r="B1593" t="str">
        <f>T("   Calendriers de tous genres, imprimés, y.c. les blocs de calendriers à effeuiller")</f>
        <v xml:space="preserve">   Calendriers de tous genres, imprimés, y.c. les blocs de calendriers à effeuiller</v>
      </c>
      <c r="C1593">
        <v>378900</v>
      </c>
      <c r="D1593">
        <v>56</v>
      </c>
    </row>
    <row r="1594" spans="1:4" x14ac:dyDescent="0.25">
      <c r="A1594" t="str">
        <f>T("   491110")</f>
        <v xml:space="preserve">   491110</v>
      </c>
      <c r="B1594" t="str">
        <f>T("   Imprimés publicitaires, catalogues commerciaux et simil.")</f>
        <v xml:space="preserve">   Imprimés publicitaires, catalogues commerciaux et simil.</v>
      </c>
      <c r="C1594">
        <v>4440400</v>
      </c>
      <c r="D1594">
        <v>3202</v>
      </c>
    </row>
    <row r="1595" spans="1:4" x14ac:dyDescent="0.25">
      <c r="A1595" t="str">
        <f>T("   520710")</f>
        <v xml:space="preserve">   520710</v>
      </c>
      <c r="B1595" t="str">
        <f>T("   Fils de coton, contenant &gt;= 85% en poids de coton, conditionnés pour la vente au détail (sauf les fils à coudre)")</f>
        <v xml:space="preserve">   Fils de coton, contenant &gt;= 85% en poids de coton, conditionnés pour la vente au détail (sauf les fils à coudre)</v>
      </c>
      <c r="C1595">
        <v>10101158</v>
      </c>
      <c r="D1595">
        <v>7200</v>
      </c>
    </row>
    <row r="1596" spans="1:4" x14ac:dyDescent="0.25">
      <c r="A1596" t="str">
        <f>T("   520852")</f>
        <v xml:space="preserve">   520852</v>
      </c>
      <c r="B1596" t="str">
        <f>T("   Tissus de coton, imprimés, à armure toile, contenant &gt;= 85% en poids de coton, d'un poids &gt; 100 g/m² mais &lt;= 200 g/m²")</f>
        <v xml:space="preserve">   Tissus de coton, imprimés, à armure toile, contenant &gt;= 85% en poids de coton, d'un poids &gt; 100 g/m² mais &lt;= 200 g/m²</v>
      </c>
      <c r="C1596">
        <v>5410125683</v>
      </c>
      <c r="D1596">
        <v>608509</v>
      </c>
    </row>
    <row r="1597" spans="1:4" x14ac:dyDescent="0.25">
      <c r="A1597" t="str">
        <f>T("   521214")</f>
        <v xml:space="preserve">   521214</v>
      </c>
      <c r="B1597" t="str">
        <f>T("   Tissus de coton, en fils de diverses couleurs, contenant en prédominance, mais &lt; 85% en poids de coton, autres que mélangés principalement ou uniquement avec des fibres synthétiques ou artificielles, d'un poids &lt;= 200 g/m²")</f>
        <v xml:space="preserve">   Tissus de coton, en fils de diverses couleurs, contenant en prédominance, mais &lt; 85% en poids de coton, autres que mélangés principalement ou uniquement avec des fibres synthétiques ou artificielles, d'un poids &lt;= 200 g/m²</v>
      </c>
      <c r="C1597">
        <v>900000</v>
      </c>
      <c r="D1597">
        <v>870</v>
      </c>
    </row>
    <row r="1598" spans="1:4" x14ac:dyDescent="0.25">
      <c r="A1598" t="str">
        <f>T("   551599")</f>
        <v xml:space="preserve">   551599</v>
      </c>
      <c r="B1598" t="s">
        <v>240</v>
      </c>
      <c r="C1598">
        <v>4495005</v>
      </c>
      <c r="D1598">
        <v>8590</v>
      </c>
    </row>
    <row r="1599" spans="1:4" x14ac:dyDescent="0.25">
      <c r="A1599" t="str">
        <f>T("   560749")</f>
        <v xml:space="preserve">   560749</v>
      </c>
      <c r="B1599" t="str">
        <f>T("   Ficelles, cordes et cordages, de polyéthylène ou de polypropylène, tressés ou non, même imprégnés, enduits, recouverts ou gainés de caoutchouc ou de matière plastique (à l'excl. les ficelles lieuses ou botteleuses)")</f>
        <v xml:space="preserve">   Ficelles, cordes et cordages, de polyéthylène ou de polypropylène, tressés ou non, même imprégnés, enduits, recouverts ou gainés de caoutchouc ou de matière plastique (à l'excl. les ficelles lieuses ou botteleuses)</v>
      </c>
      <c r="C1599">
        <v>3459345</v>
      </c>
      <c r="D1599">
        <v>1150</v>
      </c>
    </row>
    <row r="1600" spans="1:4" x14ac:dyDescent="0.25">
      <c r="A1600" t="str">
        <f>T("   611699")</f>
        <v xml:space="preserve">   611699</v>
      </c>
      <c r="B1600" t="str">
        <f>T("   Gants, mitaines et moufles, en bonneterie, de matières textiles (autres que laine, poils fins, coton, fibres synthétiques ou imprégnés, enduits ou recouverts de matières plastiques ou de caoutchouc et sauf pour bébés)")</f>
        <v xml:space="preserve">   Gants, mitaines et moufles, en bonneterie, de matières textiles (autres que laine, poils fins, coton, fibres synthétiques ou imprégnés, enduits ou recouverts de matières plastiques ou de caoutchouc et sauf pour bébés)</v>
      </c>
      <c r="C1600">
        <v>255732</v>
      </c>
      <c r="D1600">
        <v>483</v>
      </c>
    </row>
    <row r="1601" spans="1:4" x14ac:dyDescent="0.25">
      <c r="A1601" t="str">
        <f>T("   620590")</f>
        <v xml:space="preserve">   620590</v>
      </c>
      <c r="B1601"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1601">
        <v>2100000</v>
      </c>
      <c r="D1601">
        <v>1850</v>
      </c>
    </row>
    <row r="1602" spans="1:4" x14ac:dyDescent="0.25">
      <c r="A1602" t="str">
        <f>T("   621040")</f>
        <v xml:space="preserve">   621040</v>
      </c>
      <c r="B1602" t="s">
        <v>272</v>
      </c>
      <c r="C1602">
        <v>131192</v>
      </c>
      <c r="D1602">
        <v>200</v>
      </c>
    </row>
    <row r="1603" spans="1:4" x14ac:dyDescent="0.25">
      <c r="A1603" t="str">
        <f>T("   630533")</f>
        <v xml:space="preserve">   630533</v>
      </c>
      <c r="B1603" t="str">
        <f>T("   Sacs et sachets d'emballage obtenus à partir de lames ou formes simil., de polyéthylène ou polypropylène (à l'excl. des contenants souples pour matières en vrac)")</f>
        <v xml:space="preserve">   Sacs et sachets d'emballage obtenus à partir de lames ou formes simil., de polyéthylène ou polypropylène (à l'excl. des contenants souples pour matières en vrac)</v>
      </c>
      <c r="C1603">
        <v>113510000</v>
      </c>
      <c r="D1603">
        <v>68990</v>
      </c>
    </row>
    <row r="1604" spans="1:4" x14ac:dyDescent="0.25">
      <c r="A1604" t="str">
        <f>T("   630710")</f>
        <v xml:space="preserve">   630710</v>
      </c>
      <c r="B1604" t="str">
        <f>T("   Serpillières ou wassingues, lavettes, chamoisettes et articles d'entretien simil. en tous types de matières textiles")</f>
        <v xml:space="preserve">   Serpillières ou wassingues, lavettes, chamoisettes et articles d'entretien simil. en tous types de matières textiles</v>
      </c>
      <c r="C1604">
        <v>17796615</v>
      </c>
      <c r="D1604">
        <v>15435</v>
      </c>
    </row>
    <row r="1605" spans="1:4" x14ac:dyDescent="0.25">
      <c r="A1605" t="str">
        <f>T("   640299")</f>
        <v xml:space="preserve">   640299</v>
      </c>
      <c r="B1605" t="s">
        <v>285</v>
      </c>
      <c r="C1605">
        <v>6304291</v>
      </c>
      <c r="D1605">
        <v>22785</v>
      </c>
    </row>
    <row r="1606" spans="1:4" x14ac:dyDescent="0.25">
      <c r="A1606" t="str">
        <f>T("   640590")</f>
        <v xml:space="preserve">   640590</v>
      </c>
      <c r="B1606" t="s">
        <v>290</v>
      </c>
      <c r="C1606">
        <v>26805616</v>
      </c>
      <c r="D1606">
        <v>86900</v>
      </c>
    </row>
    <row r="1607" spans="1:4" x14ac:dyDescent="0.25">
      <c r="A1607" t="str">
        <f>T("   680710")</f>
        <v xml:space="preserve">   680710</v>
      </c>
      <c r="B1607" t="str">
        <f>T("   Ouvrages en asphalte ou en produits simil., p.ex. poix de pétrole, brais, en rouleaux")</f>
        <v xml:space="preserve">   Ouvrages en asphalte ou en produits simil., p.ex. poix de pétrole, brais, en rouleaux</v>
      </c>
      <c r="C1607">
        <v>6714221</v>
      </c>
      <c r="D1607">
        <v>15543</v>
      </c>
    </row>
    <row r="1608" spans="1:4" x14ac:dyDescent="0.25">
      <c r="A1608" t="str">
        <f>T("   691190")</f>
        <v xml:space="preserve">   691190</v>
      </c>
      <c r="B1608" t="s">
        <v>315</v>
      </c>
      <c r="C1608">
        <v>13119</v>
      </c>
      <c r="D1608">
        <v>20</v>
      </c>
    </row>
    <row r="1609" spans="1:4" x14ac:dyDescent="0.25">
      <c r="A1609" t="str">
        <f>T("   701329")</f>
        <v xml:space="preserve">   701329</v>
      </c>
      <c r="B1609" t="str">
        <f>T("   Verres à boire (autres qu'en vitrocérame, autres qu'en cristal au plomb)")</f>
        <v xml:space="preserve">   Verres à boire (autres qu'en vitrocérame, autres qu'en cristal au plomb)</v>
      </c>
      <c r="C1609">
        <v>26238</v>
      </c>
      <c r="D1609">
        <v>40</v>
      </c>
    </row>
    <row r="1610" spans="1:4" x14ac:dyDescent="0.25">
      <c r="A1610" t="str">
        <f>T("   721041")</f>
        <v xml:space="preserve">   721041</v>
      </c>
      <c r="B1610" t="str">
        <f>T("   Produits laminés plats, en fer ou en aciers non alliés, d'une largeur &gt;= 600 mm, laminés à chaud ou à froid, zingués, ondulés (à l'excl. des produits zingués électrolytiquement)")</f>
        <v xml:space="preserve">   Produits laminés plats, en fer ou en aciers non alliés, d'une largeur &gt;= 600 mm, laminés à chaud ou à froid, zingués, ondulés (à l'excl. des produits zingués électrolytiquement)</v>
      </c>
      <c r="C1610">
        <v>140841136</v>
      </c>
      <c r="D1610">
        <v>300000</v>
      </c>
    </row>
    <row r="1611" spans="1:4" x14ac:dyDescent="0.25">
      <c r="A1611" t="str">
        <f>T("   721049")</f>
        <v xml:space="preserve">   721049</v>
      </c>
      <c r="B1611" t="str">
        <f>T("   Produits laminés plats, en fer ou en aciers non alliés, d'une largeur &gt;= 600 mm, laminés à chaud ou à froid, zingués, non ondulés (à l'excl. des produits zingués électrolytiquement)")</f>
        <v xml:space="preserve">   Produits laminés plats, en fer ou en aciers non alliés, d'une largeur &gt;= 600 mm, laminés à chaud ou à froid, zingués, non ondulés (à l'excl. des produits zingués électrolytiquement)</v>
      </c>
      <c r="C1611">
        <v>209828650</v>
      </c>
      <c r="D1611">
        <v>344184</v>
      </c>
    </row>
    <row r="1612" spans="1:4" x14ac:dyDescent="0.25">
      <c r="A1612" t="str">
        <f>T("   721391")</f>
        <v xml:space="preserve">   721391</v>
      </c>
      <c r="B1612" t="str">
        <f>T("   FIL MACHINE EN FER OU ACIERS NON-ALLIÉS, ENROULÉ EN COURONNES IRRÉGULIÈRES, DE SECTION CIRCULAIRE DE DIAMÈTRE &lt; 14 MM (AUTRE QU'EN ACIERS DE DÉCOLLETAGE ET AUTRE QUE FIL MACHINE AVEC INDENTATIONS, BOURRELETS, CREUX OU RELIEFS OBTENUS LORS DU LAMINAGE)")</f>
        <v xml:space="preserve">   FIL MACHINE EN FER OU ACIERS NON-ALLIÉS, ENROULÉ EN COURONNES IRRÉGULIÈRES, DE SECTION CIRCULAIRE DE DIAMÈTRE &lt; 14 MM (AUTRE QU'EN ACIERS DE DÉCOLLETAGE ET AUTRE QUE FIL MACHINE AVEC INDENTATIONS, BOURRELETS, CREUX OU RELIEFS OBTENUS LORS DU LAMINAGE)</v>
      </c>
      <c r="C1612">
        <v>1499905710</v>
      </c>
      <c r="D1612">
        <v>3968600</v>
      </c>
    </row>
    <row r="1613" spans="1:4" x14ac:dyDescent="0.25">
      <c r="A1613" t="str">
        <f>T("   721420")</f>
        <v xml:space="preserve">   721420</v>
      </c>
      <c r="B1613" t="str">
        <f>T("   BARRES EN FER OU EN ACIERS NON ALLIÉS, COMPORTANT DES INDENTATIONS, BOURRELETS, CREUX OU RELIEFS OBTENUS AU COURS DU LAMINAGE OU AYANT SUBI UNE TORSION APRÈS LAMINAGE")</f>
        <v xml:space="preserve">   BARRES EN FER OU EN ACIERS NON ALLIÉS, COMPORTANT DES INDENTATIONS, BOURRELETS, CREUX OU RELIEFS OBTENUS AU COURS DU LAMINAGE OU AYANT SUBI UNE TORSION APRÈS LAMINAGE</v>
      </c>
      <c r="C1613">
        <v>633139791</v>
      </c>
      <c r="D1613">
        <v>1501980</v>
      </c>
    </row>
    <row r="1614" spans="1:4" x14ac:dyDescent="0.25">
      <c r="A1614" t="str">
        <f>T("   721691")</f>
        <v xml:space="preserve">   721691</v>
      </c>
      <c r="B1614" t="str">
        <f>T("   PROFILÉS EN FER OU ACIERS NON-ALLIÉS, OBTENUS OU PARACHEVÉS À FROID À PARTIR DE PRODUITS LAMINÉS PLATS ET AYANT SUBI CERTAINES OUVRAISONS PLUS POUSSÉES")</f>
        <v xml:space="preserve">   PROFILÉS EN FER OU ACIERS NON-ALLIÉS, OBTENUS OU PARACHEVÉS À FROID À PARTIR DE PRODUITS LAMINÉS PLATS ET AYANT SUBI CERTAINES OUVRAISONS PLUS POUSSÉES</v>
      </c>
      <c r="C1614">
        <v>60885618</v>
      </c>
      <c r="D1614">
        <v>112593</v>
      </c>
    </row>
    <row r="1615" spans="1:4" x14ac:dyDescent="0.25">
      <c r="A1615" t="str">
        <f>T("   721710")</f>
        <v xml:space="preserve">   721710</v>
      </c>
      <c r="B1615" t="str">
        <f>T("   FILS EN FER OU EN ACIERS NON-ALLIÉS, ENROULÉS, NON-REVÊTUS, MÊME POLIS (À L'EXCL. DU FIL MACHINE)")</f>
        <v xml:space="preserve">   FILS EN FER OU EN ACIERS NON-ALLIÉS, ENROULÉS, NON-REVÊTUS, MÊME POLIS (À L'EXCL. DU FIL MACHINE)</v>
      </c>
      <c r="C1615">
        <v>125250329</v>
      </c>
      <c r="D1615">
        <v>253400</v>
      </c>
    </row>
    <row r="1616" spans="1:4" x14ac:dyDescent="0.25">
      <c r="A1616" t="str">
        <f>T("   721790")</f>
        <v xml:space="preserve">   721790</v>
      </c>
      <c r="B1616" t="str">
        <f>T("   FILS EN FER OU EN ACIERS NON-ALLIÉS, ENROULÉS, REVÊTUS (À L'EXCL. DU FIL MACHINE AINSI QUE DES FILS REVÊTUS DE MÉTAUX COMMUNS)")</f>
        <v xml:space="preserve">   FILS EN FER OU EN ACIERS NON-ALLIÉS, ENROULÉS, REVÊTUS (À L'EXCL. DU FIL MACHINE AINSI QUE DES FILS REVÊTUS DE MÉTAUX COMMUNS)</v>
      </c>
      <c r="C1616">
        <v>10344889</v>
      </c>
      <c r="D1616">
        <v>30000</v>
      </c>
    </row>
    <row r="1617" spans="1:4" x14ac:dyDescent="0.25">
      <c r="A1617" t="str">
        <f>T("   730660")</f>
        <v xml:space="preserve">   730660</v>
      </c>
      <c r="B1617" t="s">
        <v>348</v>
      </c>
      <c r="C1617">
        <v>103317610</v>
      </c>
      <c r="D1617">
        <v>196869</v>
      </c>
    </row>
    <row r="1618" spans="1:4" x14ac:dyDescent="0.25">
      <c r="A1618" t="str">
        <f>T("   730820")</f>
        <v xml:space="preserve">   730820</v>
      </c>
      <c r="B1618" t="str">
        <f>T("   Tours et pylônes, en fer ou en acier")</f>
        <v xml:space="preserve">   Tours et pylônes, en fer ou en acier</v>
      </c>
      <c r="C1618">
        <v>242207297</v>
      </c>
      <c r="D1618">
        <v>81378</v>
      </c>
    </row>
    <row r="1619" spans="1:4" x14ac:dyDescent="0.25">
      <c r="A1619" t="str">
        <f>T("   731021")</f>
        <v xml:space="preserve">   731021</v>
      </c>
      <c r="B1619" t="str">
        <f>T("   Boîtes en fer ou en acier, contenance &lt; 50 l, à fermer par soudage ou sertissage (sauf pour gaz comprimés ou liquéfiés)")</f>
        <v xml:space="preserve">   Boîtes en fer ou en acier, contenance &lt; 50 l, à fermer par soudage ou sertissage (sauf pour gaz comprimés ou liquéfiés)</v>
      </c>
      <c r="C1619">
        <v>35946682</v>
      </c>
      <c r="D1619">
        <v>32777</v>
      </c>
    </row>
    <row r="1620" spans="1:4" x14ac:dyDescent="0.25">
      <c r="A1620" t="str">
        <f>T("   731029")</f>
        <v xml:space="preserve">   731029</v>
      </c>
      <c r="B1620" t="str">
        <f>T("   Réservoirs, fûts, tambours, bidons et récipients simil., en fer ou en acier, pour toutes matières, contenance &lt; 50 l, n.d.a. (sauf pour gaz comprimés ou liquéfiés, sans dispositifs mécaniques ou thermiques et à l'excl. des boîtes)")</f>
        <v xml:space="preserve">   Réservoirs, fûts, tambours, bidons et récipients simil., en fer ou en acier, pour toutes matières, contenance &lt; 50 l, n.d.a. (sauf pour gaz comprimés ou liquéfiés, sans dispositifs mécaniques ou thermiques et à l'excl. des boîtes)</v>
      </c>
      <c r="C1620">
        <v>25797556</v>
      </c>
      <c r="D1620">
        <v>18209</v>
      </c>
    </row>
    <row r="1621" spans="1:4" x14ac:dyDescent="0.25">
      <c r="A1621" t="str">
        <f>T("   731700")</f>
        <v xml:space="preserve">   731700</v>
      </c>
      <c r="B1621" t="str">
        <f>T("   Pointes, clous, punaises, crampons appointés, agrafes ondulées ou biseautées et articles simil., en fonte, fer ou acier, même avec tête en autre matière (à l'excl. de ceux avec tête en cuivre et à l'excl. des agrafes en barrettes)")</f>
        <v xml:space="preserve">   Pointes, clous, punaises, crampons appointés, agrafes ondulées ou biseautées et articles simil., en fonte, fer ou acier, même avec tête en autre matière (à l'excl. de ceux avec tête en cuivre et à l'excl. des agrafes en barrettes)</v>
      </c>
      <c r="C1621">
        <v>99814144</v>
      </c>
      <c r="D1621">
        <v>245480</v>
      </c>
    </row>
    <row r="1622" spans="1:4" x14ac:dyDescent="0.25">
      <c r="A1622" t="str">
        <f>T("   732394")</f>
        <v xml:space="preserve">   732394</v>
      </c>
      <c r="B1622" t="s">
        <v>361</v>
      </c>
      <c r="C1622">
        <v>1396788</v>
      </c>
      <c r="D1622">
        <v>1200</v>
      </c>
    </row>
    <row r="1623" spans="1:4" x14ac:dyDescent="0.25">
      <c r="A1623" t="str">
        <f>T("   820140")</f>
        <v xml:space="preserve">   820140</v>
      </c>
      <c r="B1623" t="str">
        <f>T("   Haches, serpes et outils simil. à taillants, avec partie travaillante en métaux communs")</f>
        <v xml:space="preserve">   Haches, serpes et outils simil. à taillants, avec partie travaillante en métaux communs</v>
      </c>
      <c r="C1623">
        <v>127156559</v>
      </c>
      <c r="D1623">
        <v>88816</v>
      </c>
    </row>
    <row r="1624" spans="1:4" x14ac:dyDescent="0.25">
      <c r="A1624" t="str">
        <f>T("   820719")</f>
        <v xml:space="preserve">   820719</v>
      </c>
      <c r="B1624" t="str">
        <f>T("   Outils de forage ou de sondage, interchangeables, et leurs parties, avec partie travaillante en matières autres qu'en carbures métalliques frittés ou en cermets")</f>
        <v xml:space="preserve">   Outils de forage ou de sondage, interchangeables, et leurs parties, avec partie travaillante en matières autres qu'en carbures métalliques frittés ou en cermets</v>
      </c>
      <c r="C1624">
        <v>1071000</v>
      </c>
      <c r="D1624">
        <v>620</v>
      </c>
    </row>
    <row r="1625" spans="1:4" x14ac:dyDescent="0.25">
      <c r="A1625" t="str">
        <f>T("   842410")</f>
        <v xml:space="preserve">   842410</v>
      </c>
      <c r="B1625" t="str">
        <f>T("   Extincteurs mécaniques, même chargés (sauf bombes et grenades d'extinction d'incendie)")</f>
        <v xml:space="preserve">   Extincteurs mécaniques, même chargés (sauf bombes et grenades d'extinction d'incendie)</v>
      </c>
      <c r="C1625">
        <v>10737040</v>
      </c>
      <c r="D1625">
        <v>365</v>
      </c>
    </row>
    <row r="1626" spans="1:4" x14ac:dyDescent="0.25">
      <c r="A1626" t="str">
        <f>T("   847190")</f>
        <v xml:space="preserve">   847190</v>
      </c>
      <c r="B1626"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1626">
        <v>32092194</v>
      </c>
      <c r="D1626">
        <v>666</v>
      </c>
    </row>
    <row r="1627" spans="1:4" x14ac:dyDescent="0.25">
      <c r="A1627" t="str">
        <f>T("   847290")</f>
        <v xml:space="preserve">   847290</v>
      </c>
      <c r="B1627" t="str">
        <f>T("   Machines et appareils de bureau, n.d.a.")</f>
        <v xml:space="preserve">   Machines et appareils de bureau, n.d.a.</v>
      </c>
      <c r="C1627">
        <v>1399259</v>
      </c>
      <c r="D1627">
        <v>457</v>
      </c>
    </row>
    <row r="1628" spans="1:4" x14ac:dyDescent="0.25">
      <c r="A1628" t="str">
        <f>T("   850300")</f>
        <v xml:space="preserve">   850300</v>
      </c>
      <c r="B1628" t="str">
        <f>T("   Parties reconnaissables comme étant exclusivement ou principalement destinées aux moteurs et machines génératrices électriques, groupes électrogènes ou convertisseurs rotatifs électriques n.d.a.")</f>
        <v xml:space="preserve">   Parties reconnaissables comme étant exclusivement ou principalement destinées aux moteurs et machines génératrices électriques, groupes électrogènes ou convertisseurs rotatifs électriques n.d.a.</v>
      </c>
      <c r="C1628">
        <v>120000</v>
      </c>
      <c r="D1628">
        <v>7</v>
      </c>
    </row>
    <row r="1629" spans="1:4" x14ac:dyDescent="0.25">
      <c r="A1629" t="str">
        <f>T("   850433")</f>
        <v xml:space="preserve">   850433</v>
      </c>
      <c r="B1629" t="str">
        <f>T("   Transformateurs à sec, puissance &gt; 16 kVA mais &lt;= 500 kVA")</f>
        <v xml:space="preserve">   Transformateurs à sec, puissance &gt; 16 kVA mais &lt;= 500 kVA</v>
      </c>
      <c r="C1629">
        <v>8464704</v>
      </c>
      <c r="D1629">
        <v>7600</v>
      </c>
    </row>
    <row r="1630" spans="1:4" x14ac:dyDescent="0.25">
      <c r="A1630" t="str">
        <f>T("   851750")</f>
        <v xml:space="preserve">   851750</v>
      </c>
      <c r="B1630" t="s">
        <v>452</v>
      </c>
      <c r="C1630">
        <v>1030769</v>
      </c>
      <c r="D1630">
        <v>13</v>
      </c>
    </row>
    <row r="1631" spans="1:4" x14ac:dyDescent="0.25">
      <c r="A1631" t="str">
        <f>T("   851780")</f>
        <v xml:space="preserve">   851780</v>
      </c>
      <c r="B1631" t="s">
        <v>453</v>
      </c>
      <c r="C1631">
        <v>4043324</v>
      </c>
      <c r="D1631">
        <v>116</v>
      </c>
    </row>
    <row r="1632" spans="1:4" x14ac:dyDescent="0.25">
      <c r="A1632" t="str">
        <f>T("   852460")</f>
        <v xml:space="preserve">   852460</v>
      </c>
      <c r="B1632" t="str">
        <f>T("   Cartes munies d'une piste magnétique enregistrée")</f>
        <v xml:space="preserve">   Cartes munies d'une piste magnétique enregistrée</v>
      </c>
      <c r="C1632">
        <v>1204575</v>
      </c>
      <c r="D1632">
        <v>1</v>
      </c>
    </row>
    <row r="1633" spans="1:4" x14ac:dyDescent="0.25">
      <c r="A1633" t="str">
        <f>T("   852830")</f>
        <v xml:space="preserve">   852830</v>
      </c>
      <c r="B1633" t="str">
        <f>T("   Projecteurs vidéo")</f>
        <v xml:space="preserve">   Projecteurs vidéo</v>
      </c>
      <c r="C1633">
        <v>382281</v>
      </c>
      <c r="D1633">
        <v>2</v>
      </c>
    </row>
    <row r="1634" spans="1:4" x14ac:dyDescent="0.25">
      <c r="A1634" t="str">
        <f>T("   853229")</f>
        <v xml:space="preserve">   853229</v>
      </c>
      <c r="B1634" t="str">
        <f>T("   Condensateurs fixes (autres que condensateurs au tantale, condensateurs électrolytiques à l'aluminium, condensateurs diélectriques en céramique, en papier et en matières plastiques et condensateurs de puissance)")</f>
        <v xml:space="preserve">   Condensateurs fixes (autres que condensateurs au tantale, condensateurs électrolytiques à l'aluminium, condensateurs diélectriques en céramique, en papier et en matières plastiques et condensateurs de puissance)</v>
      </c>
      <c r="C1634">
        <v>367338</v>
      </c>
      <c r="D1634">
        <v>14</v>
      </c>
    </row>
    <row r="1635" spans="1:4" x14ac:dyDescent="0.25">
      <c r="A1635" t="str">
        <f>T("   853339")</f>
        <v xml:space="preserve">   853339</v>
      </c>
      <c r="B1635" t="str">
        <f>T("   Résistances électriques variables 'y compris les rhéostats et les potentiomètres', bobinées, pour une puissance &gt; 20 W (non chauffantes)")</f>
        <v xml:space="preserve">   Résistances électriques variables 'y compris les rhéostats et les potentiomètres', bobinées, pour une puissance &gt; 20 W (non chauffantes)</v>
      </c>
      <c r="C1635">
        <v>2873105</v>
      </c>
      <c r="D1635">
        <v>78</v>
      </c>
    </row>
    <row r="1636" spans="1:4" x14ac:dyDescent="0.25">
      <c r="A1636" t="str">
        <f>T("   853540")</f>
        <v xml:space="preserve">   853540</v>
      </c>
      <c r="B1636" t="str">
        <f>T("   Parafoudres, limiteurs de tension et étaleurs d'ondes, pour une tension &gt; 1.000 V")</f>
        <v xml:space="preserve">   Parafoudres, limiteurs de tension et étaleurs d'ondes, pour une tension &gt; 1.000 V</v>
      </c>
      <c r="C1636">
        <v>4860690</v>
      </c>
      <c r="D1636">
        <v>384</v>
      </c>
    </row>
    <row r="1637" spans="1:4" x14ac:dyDescent="0.25">
      <c r="A1637" t="str">
        <f>T("   853620")</f>
        <v xml:space="preserve">   853620</v>
      </c>
      <c r="B1637" t="str">
        <f>T("   Disjoncteurs, pour une tension &lt;= 1.000 V")</f>
        <v xml:space="preserve">   Disjoncteurs, pour une tension &lt;= 1.000 V</v>
      </c>
      <c r="C1637">
        <v>14774850</v>
      </c>
      <c r="D1637">
        <v>382</v>
      </c>
    </row>
    <row r="1638" spans="1:4" x14ac:dyDescent="0.25">
      <c r="A1638" t="str">
        <f>T("   853690")</f>
        <v xml:space="preserve">   853690</v>
      </c>
      <c r="B1638" t="s">
        <v>469</v>
      </c>
      <c r="C1638">
        <v>8523364</v>
      </c>
      <c r="D1638">
        <v>272</v>
      </c>
    </row>
    <row r="1639" spans="1:4" x14ac:dyDescent="0.25">
      <c r="A1639" t="str">
        <f>T("   853710")</f>
        <v xml:space="preserve">   853710</v>
      </c>
      <c r="B1639" t="str">
        <f>T("   Tableaux, armoires et combinaisons d'appareils simil., pour la commande ou la distribution électrique, pour une tension &gt;= 1.000 V")</f>
        <v xml:space="preserve">   Tableaux, armoires et combinaisons d'appareils simil., pour la commande ou la distribution électrique, pour une tension &gt;= 1.000 V</v>
      </c>
      <c r="C1639">
        <v>1705968</v>
      </c>
      <c r="D1639">
        <v>205</v>
      </c>
    </row>
    <row r="1640" spans="1:4" x14ac:dyDescent="0.25">
      <c r="A1640" t="str">
        <f>T("   853890")</f>
        <v xml:space="preserve">   853890</v>
      </c>
      <c r="B1640" t="s">
        <v>470</v>
      </c>
      <c r="C1640">
        <v>206050</v>
      </c>
      <c r="D1640">
        <v>47</v>
      </c>
    </row>
    <row r="1641" spans="1:4" x14ac:dyDescent="0.25">
      <c r="A1641" t="str">
        <f>T("   854420")</f>
        <v xml:space="preserve">   854420</v>
      </c>
      <c r="B1641" t="str">
        <f>T("   Câbles coaxiaux et autres conducteurs électriques coaxiaux, isolés")</f>
        <v xml:space="preserve">   Câbles coaxiaux et autres conducteurs électriques coaxiaux, isolés</v>
      </c>
      <c r="C1641">
        <v>1330101</v>
      </c>
      <c r="D1641">
        <v>90</v>
      </c>
    </row>
    <row r="1642" spans="1:4" x14ac:dyDescent="0.25">
      <c r="A1642" t="str">
        <f>T("   854449")</f>
        <v xml:space="preserve">   854449</v>
      </c>
      <c r="B1642" t="str">
        <f>T("   CONDUCTEURS ÉLECTRIQUES, POUR TENSION &lt;= 1.000 V, ISOLÉS, SANS PIÈCES DE CONNEXION, N.D.A.")</f>
        <v xml:space="preserve">   CONDUCTEURS ÉLECTRIQUES, POUR TENSION &lt;= 1.000 V, ISOLÉS, SANS PIÈCES DE CONNEXION, N.D.A.</v>
      </c>
      <c r="C1642">
        <v>64245998</v>
      </c>
      <c r="D1642">
        <v>29113</v>
      </c>
    </row>
    <row r="1643" spans="1:4" x14ac:dyDescent="0.25">
      <c r="A1643" t="str">
        <f>T("   854451")</f>
        <v xml:space="preserve">   854451</v>
      </c>
      <c r="B1643" t="str">
        <f>T("   Conducteurs électriques, pour tension &gt; 80 V mais &lt;= 1.000 V, avec pièces de connexion, n.d.a.")</f>
        <v xml:space="preserve">   Conducteurs électriques, pour tension &gt; 80 V mais &lt;= 1.000 V, avec pièces de connexion, n.d.a.</v>
      </c>
      <c r="C1643">
        <v>530857</v>
      </c>
      <c r="D1643">
        <v>2700</v>
      </c>
    </row>
    <row r="1644" spans="1:4" x14ac:dyDescent="0.25">
      <c r="A1644" t="str">
        <f>T("   870322")</f>
        <v xml:space="preserve">   870322</v>
      </c>
      <c r="B1644" t="s">
        <v>475</v>
      </c>
      <c r="C1644">
        <v>8693076</v>
      </c>
      <c r="D1644">
        <v>1500</v>
      </c>
    </row>
    <row r="1645" spans="1:4" x14ac:dyDescent="0.25">
      <c r="A1645" t="str">
        <f>T("   870324")</f>
        <v xml:space="preserve">   870324</v>
      </c>
      <c r="B1645" t="s">
        <v>477</v>
      </c>
      <c r="C1645">
        <v>16784964</v>
      </c>
      <c r="D1645">
        <v>2328</v>
      </c>
    </row>
    <row r="1646" spans="1:4" x14ac:dyDescent="0.25">
      <c r="A1646" t="str">
        <f>T("   870333")</f>
        <v xml:space="preserve">   870333</v>
      </c>
      <c r="B1646" t="s">
        <v>480</v>
      </c>
      <c r="C1646">
        <v>17200037</v>
      </c>
      <c r="D1646">
        <v>2195</v>
      </c>
    </row>
    <row r="1647" spans="1:4" x14ac:dyDescent="0.25">
      <c r="A1647" t="str">
        <f>T("   870421")</f>
        <v xml:space="preserve">   870421</v>
      </c>
      <c r="B1647" t="s">
        <v>481</v>
      </c>
      <c r="C1647">
        <v>12232702</v>
      </c>
      <c r="D1647">
        <v>2100</v>
      </c>
    </row>
    <row r="1648" spans="1:4" x14ac:dyDescent="0.25">
      <c r="A1648" t="str">
        <f>T("   870510")</f>
        <v xml:space="preserve">   870510</v>
      </c>
      <c r="B1648" t="str">
        <f>T("   Camions-grues (sauf dépanneuses)")</f>
        <v xml:space="preserve">   Camions-grues (sauf dépanneuses)</v>
      </c>
      <c r="C1648">
        <v>8300000</v>
      </c>
      <c r="D1648">
        <v>10640</v>
      </c>
    </row>
    <row r="1649" spans="1:4" x14ac:dyDescent="0.25">
      <c r="A1649" t="str">
        <f>T("   871680")</f>
        <v xml:space="preserve">   871680</v>
      </c>
      <c r="B1649" t="str">
        <f>T("   Véhicules dirigés à la main et autres véhicules non automobiles, autres que remorques et semi-remorques")</f>
        <v xml:space="preserve">   Véhicules dirigés à la main et autres véhicules non automobiles, autres que remorques et semi-remorques</v>
      </c>
      <c r="C1649">
        <v>43881043</v>
      </c>
      <c r="D1649">
        <v>76528</v>
      </c>
    </row>
    <row r="1650" spans="1:4" x14ac:dyDescent="0.25">
      <c r="A1650" t="str">
        <f>T("   880190")</f>
        <v xml:space="preserve">   880190</v>
      </c>
      <c r="B1650" t="str">
        <f>T("   Ballons et dirigeables et autres véhicules aériens (non conçus pour la propulsion à moteur) (sauf planeurs et ailes volantes, cerf-volants pour enfants et ballonnets pour enfants)")</f>
        <v xml:space="preserve">   Ballons et dirigeables et autres véhicules aériens (non conçus pour la propulsion à moteur) (sauf planeurs et ailes volantes, cerf-volants pour enfants et ballonnets pour enfants)</v>
      </c>
      <c r="C1650">
        <v>2221477</v>
      </c>
      <c r="D1650">
        <v>210</v>
      </c>
    </row>
    <row r="1651" spans="1:4" x14ac:dyDescent="0.25">
      <c r="A1651" t="str">
        <f>T("   901890")</f>
        <v xml:space="preserve">   901890</v>
      </c>
      <c r="B1651" t="str">
        <f>T("   Instruments et appareils pour la médecine, la chirurgie ou l'art vétérinaire, n.d.a.")</f>
        <v xml:space="preserve">   Instruments et appareils pour la médecine, la chirurgie ou l'art vétérinaire, n.d.a.</v>
      </c>
      <c r="C1651">
        <v>850000</v>
      </c>
      <c r="D1651">
        <v>151</v>
      </c>
    </row>
    <row r="1652" spans="1:4" x14ac:dyDescent="0.25">
      <c r="A1652" t="str">
        <f>T("   902519")</f>
        <v xml:space="preserve">   902519</v>
      </c>
      <c r="B1652" t="str">
        <f>T("   THERMOMÈTRES ET PYROMÈTRES, NON-COMBINÉS À D'AUTRES INSTRUMENTS (À L'EXCL. DES THERMOMÈTRES À LIQUIDE, À LECTURE DIRECTE) [01/01/1988-31/12/1991: THERMOMÈTRES, NON COMBINES A D'AUTRES INSTRUMENTS, (NON REPR. SOUS 9025.11)]")</f>
        <v xml:space="preserve">   THERMOMÈTRES ET PYROMÈTRES, NON-COMBINÉS À D'AUTRES INSTRUMENTS (À L'EXCL. DES THERMOMÈTRES À LIQUIDE, À LECTURE DIRECTE) [01/01/1988-31/12/1991: THERMOMÈTRES, NON COMBINES A D'AUTRES INSTRUMENTS, (NON REPR. SOUS 9025.11)]</v>
      </c>
      <c r="C1652">
        <v>254500</v>
      </c>
      <c r="D1652">
        <v>542</v>
      </c>
    </row>
    <row r="1653" spans="1:4" x14ac:dyDescent="0.25">
      <c r="A1653" t="str">
        <f>T("   902920")</f>
        <v xml:space="preserve">   902920</v>
      </c>
      <c r="B1653" t="str">
        <f>T("   Indicateurs de vitesse et tachymètres; stroboscopes")</f>
        <v xml:space="preserve">   Indicateurs de vitesse et tachymètres; stroboscopes</v>
      </c>
      <c r="C1653">
        <v>1029500</v>
      </c>
      <c r="D1653">
        <v>640</v>
      </c>
    </row>
    <row r="1654" spans="1:4" x14ac:dyDescent="0.25">
      <c r="A1654" t="str">
        <f>T("   903289")</f>
        <v xml:space="preserve">   903289</v>
      </c>
      <c r="B1654" t="s">
        <v>503</v>
      </c>
      <c r="C1654">
        <v>3410336</v>
      </c>
      <c r="D1654">
        <v>130</v>
      </c>
    </row>
    <row r="1655" spans="1:4" x14ac:dyDescent="0.25">
      <c r="A1655" t="str">
        <f>T("   910299")</f>
        <v xml:space="preserve">   910299</v>
      </c>
      <c r="B1655" t="str">
        <f>T("   Montres de poche et montres simil., à remontage manuel ou automatique, y.c. les compteurs de temps du même type (autres que celles en métaux précieux ou en plaqués ou doublés de métaux précieux)")</f>
        <v xml:space="preserve">   Montres de poche et montres simil., à remontage manuel ou automatique, y.c. les compteurs de temps du même type (autres que celles en métaux précieux ou en plaqués ou doublés de métaux précieux)</v>
      </c>
      <c r="C1655">
        <v>63000</v>
      </c>
      <c r="D1655">
        <v>207</v>
      </c>
    </row>
    <row r="1656" spans="1:4" x14ac:dyDescent="0.25">
      <c r="A1656" t="str">
        <f>T("   940180")</f>
        <v xml:space="preserve">   940180</v>
      </c>
      <c r="B1656" t="str">
        <f>T("   Sièges, n.d.a.")</f>
        <v xml:space="preserve">   Sièges, n.d.a.</v>
      </c>
      <c r="C1656">
        <v>217800</v>
      </c>
      <c r="D1656">
        <v>747</v>
      </c>
    </row>
    <row r="1657" spans="1:4" x14ac:dyDescent="0.25">
      <c r="A1657" t="str">
        <f>T("   940330")</f>
        <v xml:space="preserve">   940330</v>
      </c>
      <c r="B1657" t="str">
        <f>T("   Meubles de bureau en bois (sauf sièges)")</f>
        <v xml:space="preserve">   Meubles de bureau en bois (sauf sièges)</v>
      </c>
      <c r="C1657">
        <v>1000000</v>
      </c>
      <c r="D1657">
        <v>8220</v>
      </c>
    </row>
    <row r="1658" spans="1:4" x14ac:dyDescent="0.25">
      <c r="A1658" t="str">
        <f>T("   940350")</f>
        <v xml:space="preserve">   940350</v>
      </c>
      <c r="B1658" t="str">
        <f>T("   Meubles pour chambres à coucher, en bois (sauf sièges)")</f>
        <v xml:space="preserve">   Meubles pour chambres à coucher, en bois (sauf sièges)</v>
      </c>
      <c r="C1658">
        <v>6400000</v>
      </c>
      <c r="D1658">
        <v>31900</v>
      </c>
    </row>
    <row r="1659" spans="1:4" x14ac:dyDescent="0.25">
      <c r="A1659" t="str">
        <f>T("   940360")</f>
        <v xml:space="preserve">   940360</v>
      </c>
      <c r="B1659" t="str">
        <f>T("   Meubles en bois (autres que pour bureaux, cuisines ou chambres à coucher et autres que sièges)")</f>
        <v xml:space="preserve">   Meubles en bois (autres que pour bureaux, cuisines ou chambres à coucher et autres que sièges)</v>
      </c>
      <c r="C1659">
        <v>8200000</v>
      </c>
      <c r="D1659">
        <v>32830</v>
      </c>
    </row>
    <row r="1660" spans="1:4" x14ac:dyDescent="0.25">
      <c r="A1660" t="str">
        <f>T("   940380")</f>
        <v xml:space="preserve">   940380</v>
      </c>
      <c r="B1660" t="str">
        <f>T("   Meubles en rotin, osier, bambou ou autres matières (sauf métal, bois et matières plastiques)")</f>
        <v xml:space="preserve">   Meubles en rotin, osier, bambou ou autres matières (sauf métal, bois et matières plastiques)</v>
      </c>
      <c r="C1660">
        <v>131192</v>
      </c>
      <c r="D1660">
        <v>200</v>
      </c>
    </row>
    <row r="1661" spans="1:4" x14ac:dyDescent="0.25">
      <c r="A1661" t="str">
        <f>T("   960899")</f>
        <v xml:space="preserve">   960899</v>
      </c>
      <c r="B1661" t="str">
        <f>T("   PARTIES DE STYLOS ET CRAYONS À BILLE, STYLOS ET MARQUEURS À MÈCHE FEUTRE OU À AUTRES POINTES POREUSES, STYLOS ET PORTE-MINE, N.D.A.; PORTE-PLUME, PORTE-CRAYON ET ARTICLES SIMIL., STYLETS POUR DUPLICATEURS")</f>
        <v xml:space="preserve">   PARTIES DE STYLOS ET CRAYONS À BILLE, STYLOS ET MARQUEURS À MÈCHE FEUTRE OU À AUTRES POINTES POREUSES, STYLOS ET PORTE-MINE, N.D.A.; PORTE-PLUME, PORTE-CRAYON ET ARTICLES SIMIL., STYLETS POUR DUPLICATEURS</v>
      </c>
      <c r="C1661">
        <v>781056</v>
      </c>
      <c r="D1661">
        <v>547</v>
      </c>
    </row>
    <row r="1662" spans="1:4" x14ac:dyDescent="0.25">
      <c r="A1662" t="str">
        <f>T("CK")</f>
        <v>CK</v>
      </c>
      <c r="B1662" t="str">
        <f>T("Cook, îles")</f>
        <v>Cook, îles</v>
      </c>
    </row>
    <row r="1663" spans="1:4" x14ac:dyDescent="0.25">
      <c r="A1663" t="str">
        <f>T("   ZZ_Total_Produit_SH6")</f>
        <v xml:space="preserve">   ZZ_Total_Produit_SH6</v>
      </c>
      <c r="B1663" t="str">
        <f>T("   ZZ_Total_Produit_SH6")</f>
        <v xml:space="preserve">   ZZ_Total_Produit_SH6</v>
      </c>
      <c r="C1663">
        <v>800000</v>
      </c>
      <c r="D1663">
        <v>173</v>
      </c>
    </row>
    <row r="1664" spans="1:4" x14ac:dyDescent="0.25">
      <c r="A1664" t="str">
        <f>T("   621790")</f>
        <v xml:space="preserve">   621790</v>
      </c>
      <c r="B1664" t="str">
        <f>T("   Parties de vêtements ou d'accessoires du vêtement, en tous types de matières textiles, n.d.a. (autres qu'en bonneterie)")</f>
        <v xml:space="preserve">   Parties de vêtements ou d'accessoires du vêtement, en tous types de matières textiles, n.d.a. (autres qu'en bonneterie)</v>
      </c>
      <c r="C1664">
        <v>800000</v>
      </c>
      <c r="D1664">
        <v>173</v>
      </c>
    </row>
    <row r="1665" spans="1:4" x14ac:dyDescent="0.25">
      <c r="A1665" t="str">
        <f>T("CL")</f>
        <v>CL</v>
      </c>
      <c r="B1665" t="str">
        <f>T("Chili")</f>
        <v>Chili</v>
      </c>
    </row>
    <row r="1666" spans="1:4" x14ac:dyDescent="0.25">
      <c r="A1666" t="str">
        <f>T("   ZZ_Total_Produit_SH6")</f>
        <v xml:space="preserve">   ZZ_Total_Produit_SH6</v>
      </c>
      <c r="B1666" t="str">
        <f>T("   ZZ_Total_Produit_SH6")</f>
        <v xml:space="preserve">   ZZ_Total_Produit_SH6</v>
      </c>
      <c r="C1666">
        <v>192473192</v>
      </c>
      <c r="D1666">
        <v>364808</v>
      </c>
    </row>
    <row r="1667" spans="1:4" x14ac:dyDescent="0.25">
      <c r="A1667" t="str">
        <f>T("   020727")</f>
        <v xml:space="preserve">   020727</v>
      </c>
      <c r="B1667" t="str">
        <f>T("   Morceaux et abats comestibles de dindes et dindons [des espèces domestiques], congelés")</f>
        <v xml:space="preserve">   Morceaux et abats comestibles de dindes et dindons [des espèces domestiques], congelés</v>
      </c>
      <c r="C1667">
        <v>46028000</v>
      </c>
      <c r="D1667">
        <v>74000</v>
      </c>
    </row>
    <row r="1668" spans="1:4" x14ac:dyDescent="0.25">
      <c r="A1668" t="str">
        <f>T("   030379")</f>
        <v xml:space="preserve">   030379</v>
      </c>
      <c r="B1668" t="s">
        <v>15</v>
      </c>
      <c r="C1668">
        <v>22500000</v>
      </c>
      <c r="D1668">
        <v>100000</v>
      </c>
    </row>
    <row r="1669" spans="1:4" x14ac:dyDescent="0.25">
      <c r="A1669" t="str">
        <f>T("   050400")</f>
        <v xml:space="preserve">   050400</v>
      </c>
      <c r="B1669" t="str">
        <f>T("   Boyaux, vessies et estomacs d'animaux (autres que ceux de poissons), entiers ou en morceaux, à l'état frais, réfrigéré, congelé, salé ou en saumure, séché ou fumé")</f>
        <v xml:space="preserve">   Boyaux, vessies et estomacs d'animaux (autres que ceux de poissons), entiers ou en morceaux, à l'état frais, réfrigéré, congelé, salé ou en saumure, séché ou fumé</v>
      </c>
      <c r="C1669">
        <v>60000000</v>
      </c>
      <c r="D1669">
        <v>50000</v>
      </c>
    </row>
    <row r="1670" spans="1:4" x14ac:dyDescent="0.25">
      <c r="A1670" t="str">
        <f>T("   080610")</f>
        <v xml:space="preserve">   080610</v>
      </c>
      <c r="B1670" t="str">
        <f>T("   Raisins, frais")</f>
        <v xml:space="preserve">   Raisins, frais</v>
      </c>
      <c r="C1670">
        <v>47795192</v>
      </c>
      <c r="D1670">
        <v>98952</v>
      </c>
    </row>
    <row r="1671" spans="1:4" x14ac:dyDescent="0.25">
      <c r="A1671" t="str">
        <f>T("   080810")</f>
        <v xml:space="preserve">   080810</v>
      </c>
      <c r="B1671" t="str">
        <f>T("   Pommes, fraîches")</f>
        <v xml:space="preserve">   Pommes, fraîches</v>
      </c>
      <c r="C1671">
        <v>16000000</v>
      </c>
      <c r="D1671">
        <v>41846</v>
      </c>
    </row>
    <row r="1672" spans="1:4" x14ac:dyDescent="0.25">
      <c r="A1672" t="str">
        <f>T("   870899")</f>
        <v xml:space="preserve">   870899</v>
      </c>
      <c r="B1672"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1672">
        <v>150000</v>
      </c>
      <c r="D1672">
        <v>10</v>
      </c>
    </row>
    <row r="1673" spans="1:4" x14ac:dyDescent="0.25">
      <c r="A1673" t="str">
        <f>T("CM")</f>
        <v>CM</v>
      </c>
      <c r="B1673" t="str">
        <f>T("Cameroun")</f>
        <v>Cameroun</v>
      </c>
    </row>
    <row r="1674" spans="1:4" x14ac:dyDescent="0.25">
      <c r="A1674" t="str">
        <f>T("   ZZ_Total_Produit_SH6")</f>
        <v xml:space="preserve">   ZZ_Total_Produit_SH6</v>
      </c>
      <c r="B1674" t="str">
        <f>T("   ZZ_Total_Produit_SH6")</f>
        <v xml:space="preserve">   ZZ_Total_Produit_SH6</v>
      </c>
      <c r="C1674">
        <v>1509463483</v>
      </c>
      <c r="D1674">
        <v>4192851.1</v>
      </c>
    </row>
    <row r="1675" spans="1:4" x14ac:dyDescent="0.25">
      <c r="A1675" t="str">
        <f>T("   210420")</f>
        <v xml:space="preserve">   210420</v>
      </c>
      <c r="B1675" t="s">
        <v>56</v>
      </c>
      <c r="C1675">
        <v>100000</v>
      </c>
      <c r="D1675">
        <v>23</v>
      </c>
    </row>
    <row r="1676" spans="1:4" x14ac:dyDescent="0.25">
      <c r="A1676" t="str">
        <f>T("   271011")</f>
        <v xml:space="preserve">   271011</v>
      </c>
      <c r="B1676" t="str">
        <f>T("   HUILES LÉGÈRES ET PRÉPARATIONS DE PÉTROLE OU DE MINÉRAUX BITUMINEUX DISTILLANT EN VOLUME, Y.C. LES PERTES, &gt;= 90% À 210°C, D'APRÈS LA MÉTHODE ASTM D 86")</f>
        <v xml:space="preserve">   HUILES LÉGÈRES ET PRÉPARATIONS DE PÉTROLE OU DE MINÉRAUX BITUMINEUX DISTILLANT EN VOLUME, Y.C. LES PERTES, &gt;= 90% À 210°C, D'APRÈS LA MÉTHODE ASTM D 86</v>
      </c>
      <c r="C1676">
        <v>856545</v>
      </c>
      <c r="D1676">
        <v>2748</v>
      </c>
    </row>
    <row r="1677" spans="1:4" x14ac:dyDescent="0.25">
      <c r="A1677" t="str">
        <f>T("   271019")</f>
        <v xml:space="preserve">   271019</v>
      </c>
      <c r="B1677" t="str">
        <f>T("   Huiles moyennes et préparations, de pétrole ou de minéraux bitumineux, n.d.a.")</f>
        <v xml:space="preserve">   Huiles moyennes et préparations, de pétrole ou de minéraux bitumineux, n.d.a.</v>
      </c>
      <c r="C1677">
        <v>752334544</v>
      </c>
      <c r="D1677">
        <v>2879386</v>
      </c>
    </row>
    <row r="1678" spans="1:4" x14ac:dyDescent="0.25">
      <c r="A1678" t="str">
        <f>T("   330190")</f>
        <v xml:space="preserve">   330190</v>
      </c>
      <c r="B1678" t="s">
        <v>98</v>
      </c>
      <c r="C1678">
        <v>230000</v>
      </c>
      <c r="D1678">
        <v>200</v>
      </c>
    </row>
    <row r="1679" spans="1:4" x14ac:dyDescent="0.25">
      <c r="A1679" t="str">
        <f>T("   330210")</f>
        <v xml:space="preserve">   330210</v>
      </c>
      <c r="B1679" t="str">
        <f>T("   Mélanges de substances odoriférantes et mélanges, y.c. les solutions alcooliques, à base d'une ou de plusieurs de ces substances, des types utilisés comme matières de base pour les industries des produits alimentaires et des boissons")</f>
        <v xml:space="preserve">   Mélanges de substances odoriférantes et mélanges, y.c. les solutions alcooliques, à base d'une ou de plusieurs de ces substances, des types utilisés comme matières de base pour les industries des produits alimentaires et des boissons</v>
      </c>
      <c r="C1679">
        <v>1925000</v>
      </c>
      <c r="D1679">
        <v>880</v>
      </c>
    </row>
    <row r="1680" spans="1:4" x14ac:dyDescent="0.25">
      <c r="A1680" t="str">
        <f>T("   330491")</f>
        <v xml:space="preserve">   330491</v>
      </c>
      <c r="B1680" t="str">
        <f>T("   Poudres pour le maquillage ou l'entretien ou les soins de la peau, y.c. les poudres pour bébés et les poudres compactes (à l'excl. des médicaments)")</f>
        <v xml:space="preserve">   Poudres pour le maquillage ou l'entretien ou les soins de la peau, y.c. les poudres pour bébés et les poudres compactes (à l'excl. des médicaments)</v>
      </c>
      <c r="C1680">
        <v>201379</v>
      </c>
      <c r="D1680">
        <v>540</v>
      </c>
    </row>
    <row r="1681" spans="1:4" x14ac:dyDescent="0.25">
      <c r="A1681" t="str">
        <f>T("   330499")</f>
        <v xml:space="preserve">   330499</v>
      </c>
      <c r="B1681" t="s">
        <v>100</v>
      </c>
      <c r="C1681">
        <v>16750195</v>
      </c>
      <c r="D1681">
        <v>42625.1</v>
      </c>
    </row>
    <row r="1682" spans="1:4" x14ac:dyDescent="0.25">
      <c r="A1682" t="str">
        <f>T("   340111")</f>
        <v xml:space="preserve">   340111</v>
      </c>
      <c r="B1682" t="s">
        <v>101</v>
      </c>
      <c r="C1682">
        <v>3214756</v>
      </c>
      <c r="D1682">
        <v>3460</v>
      </c>
    </row>
    <row r="1683" spans="1:4" x14ac:dyDescent="0.25">
      <c r="A1683" t="str">
        <f>T("   490199")</f>
        <v xml:space="preserve">   490199</v>
      </c>
      <c r="B1683"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1683">
        <v>19442601</v>
      </c>
      <c r="D1683">
        <v>1600</v>
      </c>
    </row>
    <row r="1684" spans="1:4" x14ac:dyDescent="0.25">
      <c r="A1684" t="str">
        <f>T("   620590")</f>
        <v xml:space="preserve">   620590</v>
      </c>
      <c r="B1684"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1684">
        <v>3431000</v>
      </c>
      <c r="D1684">
        <v>2350</v>
      </c>
    </row>
    <row r="1685" spans="1:4" x14ac:dyDescent="0.25">
      <c r="A1685" t="str">
        <f>T("   701090")</f>
        <v xml:space="preserve">   701090</v>
      </c>
      <c r="B1685" t="s">
        <v>323</v>
      </c>
      <c r="C1685">
        <v>540090626</v>
      </c>
      <c r="D1685">
        <v>1158409</v>
      </c>
    </row>
    <row r="1686" spans="1:4" x14ac:dyDescent="0.25">
      <c r="A1686" t="str">
        <f>T("   732394")</f>
        <v xml:space="preserve">   732394</v>
      </c>
      <c r="B1686" t="s">
        <v>361</v>
      </c>
      <c r="C1686">
        <v>4550000</v>
      </c>
      <c r="D1686">
        <v>2500</v>
      </c>
    </row>
    <row r="1687" spans="1:4" x14ac:dyDescent="0.25">
      <c r="A1687" t="str">
        <f>T("   732399")</f>
        <v xml:space="preserve">   732399</v>
      </c>
      <c r="B1687" t="s">
        <v>362</v>
      </c>
      <c r="C1687">
        <v>115000</v>
      </c>
      <c r="D1687">
        <v>180</v>
      </c>
    </row>
    <row r="1688" spans="1:4" x14ac:dyDescent="0.25">
      <c r="A1688" t="str">
        <f>T("   760410")</f>
        <v xml:space="preserve">   760410</v>
      </c>
      <c r="B1688" t="str">
        <f>T("   BARRES ET PROFILÉS EN ALUMINIUM NON-ALLIÉ, N.D.A.")</f>
        <v xml:space="preserve">   BARRES ET PROFILÉS EN ALUMINIUM NON-ALLIÉ, N.D.A.</v>
      </c>
      <c r="C1688">
        <v>70212128</v>
      </c>
      <c r="D1688">
        <v>44388</v>
      </c>
    </row>
    <row r="1689" spans="1:4" x14ac:dyDescent="0.25">
      <c r="A1689" t="str">
        <f>T("   760611")</f>
        <v xml:space="preserve">   760611</v>
      </c>
      <c r="B1689" t="str">
        <f>T("   TÔLES ET BANDES EN ALUMINIUM NON-ALLIÉ, D'UNE ÉPAISSEUR &gt; 0,2 MM, DE FORME CARRÉE OU RECTANGULAIRE (SAUF TÔLES ET BANDES DÉPLOYÉES)")</f>
        <v xml:space="preserve">   TÔLES ET BANDES EN ALUMINIUM NON-ALLIÉ, D'UNE ÉPAISSEUR &gt; 0,2 MM, DE FORME CARRÉE OU RECTANGULAIRE (SAUF TÔLES ET BANDES DÉPLOYÉES)</v>
      </c>
      <c r="C1689">
        <v>57380830</v>
      </c>
      <c r="D1689">
        <v>36658</v>
      </c>
    </row>
    <row r="1690" spans="1:4" x14ac:dyDescent="0.25">
      <c r="A1690" t="str">
        <f>T("   841829")</f>
        <v xml:space="preserve">   841829</v>
      </c>
      <c r="B1690" t="str">
        <f>T("   Réfrigérateurs ménagers à absorption, non-électriques")</f>
        <v xml:space="preserve">   Réfrigérateurs ménagers à absorption, non-électriques</v>
      </c>
      <c r="C1690">
        <v>1470000</v>
      </c>
      <c r="D1690">
        <v>550</v>
      </c>
    </row>
    <row r="1691" spans="1:4" x14ac:dyDescent="0.25">
      <c r="A1691" t="str">
        <f>T("   843149")</f>
        <v xml:space="preserve">   843149</v>
      </c>
      <c r="B1691" t="str">
        <f>T("   Parties de machines et appareils du n° 8426, 8429 ou 8430, n.d.a.")</f>
        <v xml:space="preserve">   Parties de machines et appareils du n° 8426, 8429 ou 8430, n.d.a.</v>
      </c>
      <c r="C1691">
        <v>366760</v>
      </c>
      <c r="D1691">
        <v>9</v>
      </c>
    </row>
    <row r="1692" spans="1:4" x14ac:dyDescent="0.25">
      <c r="A1692" t="str">
        <f>T("   870322")</f>
        <v xml:space="preserve">   870322</v>
      </c>
      <c r="B1692" t="s">
        <v>475</v>
      </c>
      <c r="C1692">
        <v>2400000</v>
      </c>
      <c r="D1692">
        <v>2315</v>
      </c>
    </row>
    <row r="1693" spans="1:4" x14ac:dyDescent="0.25">
      <c r="A1693" t="str">
        <f>T("   870323")</f>
        <v xml:space="preserve">   870323</v>
      </c>
      <c r="B1693" t="s">
        <v>476</v>
      </c>
      <c r="C1693">
        <v>20183497</v>
      </c>
      <c r="D1693">
        <v>3059</v>
      </c>
    </row>
    <row r="1694" spans="1:4" x14ac:dyDescent="0.25">
      <c r="A1694" t="str">
        <f>T("   871110")</f>
        <v xml:space="preserve">   871110</v>
      </c>
      <c r="B1694" t="str">
        <f>T("   Cyclomoteurs, à moteur à piston alternatif, cylindrée &lt;= 50 cm³, y.c. cycles à moteur auxiliaire")</f>
        <v xml:space="preserve">   Cyclomoteurs, à moteur à piston alternatif, cylindrée &lt;= 50 cm³, y.c. cycles à moteur auxiliaire</v>
      </c>
      <c r="C1694">
        <v>192999</v>
      </c>
      <c r="D1694">
        <v>250</v>
      </c>
    </row>
    <row r="1695" spans="1:4" x14ac:dyDescent="0.25">
      <c r="A1695" t="str">
        <f>T("   871120")</f>
        <v xml:space="preserve">   871120</v>
      </c>
      <c r="B1695" t="str">
        <f>T("   Motocycles à moteur à piston alternatif, cylindrée &gt; 50 cm³ mais &lt;= 250 cm³")</f>
        <v xml:space="preserve">   Motocycles à moteur à piston alternatif, cylindrée &gt; 50 cm³ mais &lt;= 250 cm³</v>
      </c>
      <c r="C1695">
        <v>387163</v>
      </c>
      <c r="D1695">
        <v>200</v>
      </c>
    </row>
    <row r="1696" spans="1:4" x14ac:dyDescent="0.25">
      <c r="A1696" t="str">
        <f>T("   940171")</f>
        <v xml:space="preserve">   940171</v>
      </c>
      <c r="B1696" t="str">
        <f>T("   Sièges, avec bâti en métal, rembourrés (autres que pour véhicules aériens ou automobiles, autres que fauteuils pivotants ajustables en hauteur et autres que pour la médecine, l'art dentaire ou la chirurgie)")</f>
        <v xml:space="preserve">   Sièges, avec bâti en métal, rembourrés (autres que pour véhicules aériens ou automobiles, autres que fauteuils pivotants ajustables en hauteur et autres que pour la médecine, l'art dentaire ou la chirurgie)</v>
      </c>
      <c r="C1696">
        <v>1724230</v>
      </c>
      <c r="D1696">
        <v>1600</v>
      </c>
    </row>
    <row r="1697" spans="1:4" x14ac:dyDescent="0.25">
      <c r="A1697" t="str">
        <f>T("   940350")</f>
        <v xml:space="preserve">   940350</v>
      </c>
      <c r="B1697" t="str">
        <f>T("   Meubles pour chambres à coucher, en bois (sauf sièges)")</f>
        <v xml:space="preserve">   Meubles pour chambres à coucher, en bois (sauf sièges)</v>
      </c>
      <c r="C1697">
        <v>10472930</v>
      </c>
      <c r="D1697">
        <v>6900</v>
      </c>
    </row>
    <row r="1698" spans="1:4" x14ac:dyDescent="0.25">
      <c r="A1698" t="str">
        <f>T("   940360")</f>
        <v xml:space="preserve">   940360</v>
      </c>
      <c r="B1698" t="str">
        <f>T("   Meubles en bois (autres que pour bureaux, cuisines ou chambres à coucher et autres que sièges)")</f>
        <v xml:space="preserve">   Meubles en bois (autres que pour bureaux, cuisines ou chambres à coucher et autres que sièges)</v>
      </c>
      <c r="C1698">
        <v>1301300</v>
      </c>
      <c r="D1698">
        <v>1850</v>
      </c>
    </row>
    <row r="1699" spans="1:4" x14ac:dyDescent="0.25">
      <c r="A1699" t="str">
        <f>T("   970500")</f>
        <v xml:space="preserve">   970500</v>
      </c>
      <c r="B1699" t="str">
        <f>T("   Collections et spécimens pour collections de zoologie, de botanique, de minéralogie, d'anatomie, ou présentant un intérêt historique, archéologique, paléontologique, ethnographique ou numismatique")</f>
        <v xml:space="preserve">   Collections et spécimens pour collections de zoologie, de botanique, de minéralogie, d'anatomie, ou présentant un intérêt historique, archéologique, paléontologique, ethnographique ou numismatique</v>
      </c>
      <c r="C1699">
        <v>130000</v>
      </c>
      <c r="D1699">
        <v>171</v>
      </c>
    </row>
    <row r="1700" spans="1:4" x14ac:dyDescent="0.25">
      <c r="A1700" t="str">
        <f>T("CN")</f>
        <v>CN</v>
      </c>
      <c r="B1700" t="str">
        <f>T("Chine")</f>
        <v>Chine</v>
      </c>
    </row>
    <row r="1701" spans="1:4" x14ac:dyDescent="0.25">
      <c r="A1701" t="str">
        <f>T("   ZZ_Total_Produit_SH6")</f>
        <v xml:space="preserve">   ZZ_Total_Produit_SH6</v>
      </c>
      <c r="B1701" t="str">
        <f>T("   ZZ_Total_Produit_SH6")</f>
        <v xml:space="preserve">   ZZ_Total_Produit_SH6</v>
      </c>
      <c r="C1701">
        <v>97102495018.649994</v>
      </c>
      <c r="D1701">
        <v>196721960.55000001</v>
      </c>
    </row>
    <row r="1702" spans="1:4" x14ac:dyDescent="0.25">
      <c r="A1702" t="str">
        <f>T("   020712")</f>
        <v xml:space="preserve">   020712</v>
      </c>
      <c r="B1702" t="str">
        <f>T("   COQS ET POULES [DES ESPÈCES DOMESTIQUES], NON-DÉCOUPÉS EN MORCEAUX, CONGELÉS")</f>
        <v xml:space="preserve">   COQS ET POULES [DES ESPÈCES DOMESTIQUES], NON-DÉCOUPÉS EN MORCEAUX, CONGELÉS</v>
      </c>
      <c r="C1702">
        <v>15550188</v>
      </c>
      <c r="D1702">
        <v>25000</v>
      </c>
    </row>
    <row r="1703" spans="1:4" x14ac:dyDescent="0.25">
      <c r="A1703" t="str">
        <f>T("   020714")</f>
        <v xml:space="preserve">   020714</v>
      </c>
      <c r="B1703" t="str">
        <f>T("   Morceaux et abats comestibles de coqs et de poules [des espèces domestiques], congelés")</f>
        <v xml:space="preserve">   Morceaux et abats comestibles de coqs et de poules [des espèces domestiques], congelés</v>
      </c>
      <c r="C1703">
        <v>250044622</v>
      </c>
      <c r="D1703">
        <v>403486</v>
      </c>
    </row>
    <row r="1704" spans="1:4" x14ac:dyDescent="0.25">
      <c r="A1704" t="str">
        <f>T("   030219")</f>
        <v xml:space="preserve">   030219</v>
      </c>
      <c r="B1704" t="str">
        <f>T("   Salmonidés, frais ou réfrigérés (à l'excl. des truites et des saumons du Pacifique, de l'Atlantique et du Danube)")</f>
        <v xml:space="preserve">   Salmonidés, frais ou réfrigérés (à l'excl. des truites et des saumons du Pacifique, de l'Atlantique et du Danube)</v>
      </c>
      <c r="C1704">
        <v>5624857</v>
      </c>
      <c r="D1704">
        <v>25000</v>
      </c>
    </row>
    <row r="1705" spans="1:4" x14ac:dyDescent="0.25">
      <c r="A1705" t="str">
        <f>T("   030339")</f>
        <v xml:space="preserve">   030339</v>
      </c>
      <c r="B1705" t="str">
        <f>T("   Poissons plats [pleuronectidés, bothidés, cynoglossidés, soléidés, scophthalmidés et citharidés], congelés (à l'excl. des flétans, des plies ou carrelets et des soles)")</f>
        <v xml:space="preserve">   Poissons plats [pleuronectidés, bothidés, cynoglossidés, soléidés, scophthalmidés et citharidés], congelés (à l'excl. des flétans, des plies ou carrelets et des soles)</v>
      </c>
      <c r="C1705">
        <v>3150576</v>
      </c>
      <c r="D1705">
        <v>14000</v>
      </c>
    </row>
    <row r="1706" spans="1:4" x14ac:dyDescent="0.25">
      <c r="A1706" t="str">
        <f>T("   030374")</f>
        <v xml:space="preserve">   030374</v>
      </c>
      <c r="B1706" t="str">
        <f>T("   Maquereaux [Scomber scombrus, Scomber australasicus, Scomber japonicus], congelés")</f>
        <v xml:space="preserve">   Maquereaux [Scomber scombrus, Scomber australasicus, Scomber japonicus], congelés</v>
      </c>
      <c r="C1706">
        <v>62978164</v>
      </c>
      <c r="D1706">
        <v>279900</v>
      </c>
    </row>
    <row r="1707" spans="1:4" x14ac:dyDescent="0.25">
      <c r="A1707" t="str">
        <f>T("   030379")</f>
        <v xml:space="preserve">   030379</v>
      </c>
      <c r="B1707" t="s">
        <v>15</v>
      </c>
      <c r="C1707">
        <v>300184971</v>
      </c>
      <c r="D1707">
        <v>1334160</v>
      </c>
    </row>
    <row r="1708" spans="1:4" x14ac:dyDescent="0.25">
      <c r="A1708" t="str">
        <f>T("   040210")</f>
        <v xml:space="preserve">   040210</v>
      </c>
      <c r="B1708" t="str">
        <f>T("   Lait et crème de lait, en poudre, en granulés ou sous d'autres formes solides, d'une teneur en poids de matières grasses &lt;= 1,5%")</f>
        <v xml:space="preserve">   Lait et crème de lait, en poudre, en granulés ou sous d'autres formes solides, d'une teneur en poids de matières grasses &lt;= 1,5%</v>
      </c>
      <c r="C1708">
        <v>215574235</v>
      </c>
      <c r="D1708">
        <v>167169</v>
      </c>
    </row>
    <row r="1709" spans="1:4" x14ac:dyDescent="0.25">
      <c r="A1709" t="str">
        <f>T("   040291")</f>
        <v xml:space="preserve">   040291</v>
      </c>
      <c r="B1709" t="str">
        <f>T("   Lait et crème de lait, concentrés, sans addition de sucre ou d'autres édulcorants (à l'excl. des laits et crèmes de lait en poudre, en granulés ou sous d'autres formes solides)")</f>
        <v xml:space="preserve">   Lait et crème de lait, concentrés, sans addition de sucre ou d'autres édulcorants (à l'excl. des laits et crèmes de lait en poudre, en granulés ou sous d'autres formes solides)</v>
      </c>
      <c r="C1709">
        <v>16850000</v>
      </c>
      <c r="D1709">
        <v>25736</v>
      </c>
    </row>
    <row r="1710" spans="1:4" x14ac:dyDescent="0.25">
      <c r="A1710" t="str">
        <f>T("   070320")</f>
        <v xml:space="preserve">   070320</v>
      </c>
      <c r="B1710" t="str">
        <f>T("   Aulx, à l'état frais ou réfrigéré")</f>
        <v xml:space="preserve">   Aulx, à l'état frais ou réfrigéré</v>
      </c>
      <c r="C1710">
        <v>59924677</v>
      </c>
      <c r="D1710">
        <v>285300</v>
      </c>
    </row>
    <row r="1711" spans="1:4" x14ac:dyDescent="0.25">
      <c r="A1711" t="str">
        <f>T("   071010")</f>
        <v xml:space="preserve">   071010</v>
      </c>
      <c r="B1711" t="str">
        <f>T("   Pommes de terre, non cuites ou cuites à l'eau ou à la vapeur, congelées")</f>
        <v xml:space="preserve">   Pommes de terre, non cuites ou cuites à l'eau ou à la vapeur, congelées</v>
      </c>
      <c r="C1711">
        <v>4785000</v>
      </c>
      <c r="D1711">
        <v>29000</v>
      </c>
    </row>
    <row r="1712" spans="1:4" x14ac:dyDescent="0.25">
      <c r="A1712" t="str">
        <f>T("   071090")</f>
        <v xml:space="preserve">   071090</v>
      </c>
      <c r="B1712" t="str">
        <f>T("   Mélanges de légumes, non cuits ou cuits à l'eau ou à la vapeur, congelés")</f>
        <v xml:space="preserve">   Mélanges de légumes, non cuits ou cuits à l'eau ou à la vapeur, congelés</v>
      </c>
      <c r="C1712">
        <v>5974369</v>
      </c>
      <c r="D1712">
        <v>19883</v>
      </c>
    </row>
    <row r="1713" spans="1:4" x14ac:dyDescent="0.25">
      <c r="A1713" t="str">
        <f>T("   071190")</f>
        <v xml:space="preserve">   071190</v>
      </c>
      <c r="B1713" t="s">
        <v>20</v>
      </c>
      <c r="C1713">
        <v>1878813</v>
      </c>
      <c r="D1713">
        <v>4800</v>
      </c>
    </row>
    <row r="1714" spans="1:4" x14ac:dyDescent="0.25">
      <c r="A1714" t="str">
        <f>T("   071390")</f>
        <v xml:space="preserve">   071390</v>
      </c>
      <c r="B1714" t="str">
        <f>T("   Légumes à cosse secs, écossés, même décortiqués ou cassés (à l'excl. des pois, des pois chiches, des haricots, des lentilles, des fèves et des féveroles)")</f>
        <v xml:space="preserve">   Légumes à cosse secs, écossés, même décortiqués ou cassés (à l'excl. des pois, des pois chiches, des haricots, des lentilles, des fèves et des féveroles)</v>
      </c>
      <c r="C1714">
        <v>15087</v>
      </c>
      <c r="D1714">
        <v>40</v>
      </c>
    </row>
    <row r="1715" spans="1:4" x14ac:dyDescent="0.25">
      <c r="A1715" t="str">
        <f>T("   080810")</f>
        <v xml:space="preserve">   080810</v>
      </c>
      <c r="B1715" t="str">
        <f>T("   Pommes, fraîches")</f>
        <v xml:space="preserve">   Pommes, fraîches</v>
      </c>
      <c r="C1715">
        <v>24979624</v>
      </c>
      <c r="D1715">
        <v>75780</v>
      </c>
    </row>
    <row r="1716" spans="1:4" x14ac:dyDescent="0.25">
      <c r="A1716" t="str">
        <f>T("   090111")</f>
        <v xml:space="preserve">   090111</v>
      </c>
      <c r="B1716" t="str">
        <f>T("   Café, non torréfié, non décaféiné")</f>
        <v xml:space="preserve">   Café, non torréfié, non décaféiné</v>
      </c>
      <c r="C1716">
        <v>10383480</v>
      </c>
      <c r="D1716">
        <v>34980</v>
      </c>
    </row>
    <row r="1717" spans="1:4" x14ac:dyDescent="0.25">
      <c r="A1717" t="str">
        <f>T("   090190")</f>
        <v xml:space="preserve">   090190</v>
      </c>
      <c r="B1717" t="str">
        <f>T("   Coques et pellicules de café; succédanés du café contenant du café, quelles que soient les proportions du mélange")</f>
        <v xml:space="preserve">   Coques et pellicules de café; succédanés du café contenant du café, quelles que soient les proportions du mélange</v>
      </c>
      <c r="C1717">
        <v>2500000</v>
      </c>
      <c r="D1717">
        <v>11330</v>
      </c>
    </row>
    <row r="1718" spans="1:4" x14ac:dyDescent="0.25">
      <c r="A1718" t="str">
        <f>T("   090210")</f>
        <v xml:space="preserve">   090210</v>
      </c>
      <c r="B1718" t="str">
        <f>T("   Thé vert [thé non fermenté], présenté en emballages immédiats d'un contenu &lt;= 3 kg")</f>
        <v xml:space="preserve">   Thé vert [thé non fermenté], présenté en emballages immédiats d'un contenu &lt;= 3 kg</v>
      </c>
      <c r="C1718">
        <v>16541091</v>
      </c>
      <c r="D1718">
        <v>38115</v>
      </c>
    </row>
    <row r="1719" spans="1:4" x14ac:dyDescent="0.25">
      <c r="A1719" t="str">
        <f>T("   090220")</f>
        <v xml:space="preserve">   090220</v>
      </c>
      <c r="B1719" t="str">
        <f>T("   Thé vert [thé non fermenté], présenté en emballages immédiats d'un contenu &gt; 3 kg")</f>
        <v xml:space="preserve">   Thé vert [thé non fermenté], présenté en emballages immédiats d'un contenu &gt; 3 kg</v>
      </c>
      <c r="C1719">
        <v>34809162</v>
      </c>
      <c r="D1719">
        <v>83375</v>
      </c>
    </row>
    <row r="1720" spans="1:4" x14ac:dyDescent="0.25">
      <c r="A1720" t="str">
        <f>T("   090230")</f>
        <v xml:space="preserve">   090230</v>
      </c>
      <c r="B1720" t="s">
        <v>24</v>
      </c>
      <c r="C1720">
        <v>212052</v>
      </c>
      <c r="D1720">
        <v>5410</v>
      </c>
    </row>
    <row r="1721" spans="1:4" x14ac:dyDescent="0.25">
      <c r="A1721" t="str">
        <f>T("   090240")</f>
        <v xml:space="preserve">   090240</v>
      </c>
      <c r="B1721" t="s">
        <v>25</v>
      </c>
      <c r="C1721">
        <v>2833236</v>
      </c>
      <c r="D1721">
        <v>7450</v>
      </c>
    </row>
    <row r="1722" spans="1:4" x14ac:dyDescent="0.25">
      <c r="A1722" t="str">
        <f>T("   090420")</f>
        <v xml:space="preserve">   090420</v>
      </c>
      <c r="B1722" t="str">
        <f>T("   Piments du genre 'Capsicum' ou du genre 'Pimenta', séchés ou broyés ou pulvérisés")</f>
        <v xml:space="preserve">   Piments du genre 'Capsicum' ou du genre 'Pimenta', séchés ou broyés ou pulvérisés</v>
      </c>
      <c r="C1722">
        <v>219537</v>
      </c>
      <c r="D1722">
        <v>1000</v>
      </c>
    </row>
    <row r="1723" spans="1:4" x14ac:dyDescent="0.25">
      <c r="A1723" t="str">
        <f>T("   091099")</f>
        <v xml:space="preserve">   091099</v>
      </c>
      <c r="B1723" t="s">
        <v>26</v>
      </c>
      <c r="C1723">
        <v>5378223</v>
      </c>
      <c r="D1723">
        <v>27895</v>
      </c>
    </row>
    <row r="1724" spans="1:4" x14ac:dyDescent="0.25">
      <c r="A1724" t="str">
        <f>T("   100610")</f>
        <v xml:space="preserve">   100610</v>
      </c>
      <c r="B1724" t="str">
        <f>T("   Riz en paille [riz paddy]")</f>
        <v xml:space="preserve">   Riz en paille [riz paddy]</v>
      </c>
      <c r="C1724">
        <v>73247</v>
      </c>
      <c r="D1724">
        <v>15</v>
      </c>
    </row>
    <row r="1725" spans="1:4" x14ac:dyDescent="0.25">
      <c r="A1725" t="str">
        <f>T("   100630")</f>
        <v xml:space="preserve">   100630</v>
      </c>
      <c r="B1725" t="str">
        <f>T("   Riz semi-blanchi ou blanchi, même poli ou glacé")</f>
        <v xml:space="preserve">   Riz semi-blanchi ou blanchi, même poli ou glacé</v>
      </c>
      <c r="C1725">
        <v>2357601029.0190001</v>
      </c>
      <c r="D1725">
        <v>7891180</v>
      </c>
    </row>
    <row r="1726" spans="1:4" x14ac:dyDescent="0.25">
      <c r="A1726" t="str">
        <f>T("   100640")</f>
        <v xml:space="preserve">   100640</v>
      </c>
      <c r="B1726" t="str">
        <f>T("   Riz en brisures")</f>
        <v xml:space="preserve">   Riz en brisures</v>
      </c>
      <c r="C1726">
        <v>2745588.0249999999</v>
      </c>
      <c r="D1726">
        <v>3022</v>
      </c>
    </row>
    <row r="1727" spans="1:4" x14ac:dyDescent="0.25">
      <c r="A1727" t="str">
        <f>T("   110290")</f>
        <v xml:space="preserve">   110290</v>
      </c>
      <c r="B1727" t="str">
        <f>T("   FARINES DE CÉRÉALES (À L'EXCL. DES FARINES DE FROMENT [BLÉ], DE MÉTEIL, DE SEIGLE ET DE MAÏS)")</f>
        <v xml:space="preserve">   FARINES DE CÉRÉALES (À L'EXCL. DES FARINES DE FROMENT [BLÉ], DE MÉTEIL, DE SEIGLE ET DE MAÏS)</v>
      </c>
      <c r="C1727">
        <v>1578020</v>
      </c>
      <c r="D1727">
        <v>10506</v>
      </c>
    </row>
    <row r="1728" spans="1:4" x14ac:dyDescent="0.25">
      <c r="A1728" t="str">
        <f>T("   150890")</f>
        <v xml:space="preserve">   150890</v>
      </c>
      <c r="B1728" t="str">
        <f>T("   Huile d'arachide et ses fractions, même raffinées, mais non chimiquement modifiées (à l'excl. de l'huile d'arachide brute)")</f>
        <v xml:space="preserve">   Huile d'arachide et ses fractions, même raffinées, mais non chimiquement modifiées (à l'excl. de l'huile d'arachide brute)</v>
      </c>
      <c r="C1728">
        <v>18696753.105999999</v>
      </c>
      <c r="D1728">
        <v>47880</v>
      </c>
    </row>
    <row r="1729" spans="1:4" x14ac:dyDescent="0.25">
      <c r="A1729" t="str">
        <f>T("   151190")</f>
        <v xml:space="preserve">   151190</v>
      </c>
      <c r="B1729" t="str">
        <f>T("   Huile de palme et ses fractions, même raffinées, mais non chimiquement modifiées (à l'excl. de l'huile de palme brute)")</f>
        <v xml:space="preserve">   Huile de palme et ses fractions, même raffinées, mais non chimiquement modifiées (à l'excl. de l'huile de palme brute)</v>
      </c>
      <c r="C1729">
        <v>424614832.5</v>
      </c>
      <c r="D1729">
        <v>1120669</v>
      </c>
    </row>
    <row r="1730" spans="1:4" x14ac:dyDescent="0.25">
      <c r="A1730" t="str">
        <f>T("   151620")</f>
        <v xml:space="preserve">   151620</v>
      </c>
      <c r="B1730" t="str">
        <f>T("   Graisses et huiles végétales et leurs fractions, partiellement ou totalement hydrogénées, interestérifiées, réestérifiées ou élaïdinisées, même raffinées, mais non autrement préparées")</f>
        <v xml:space="preserve">   Graisses et huiles végétales et leurs fractions, partiellement ou totalement hydrogénées, interestérifiées, réestérifiées ou élaïdinisées, même raffinées, mais non autrement préparées</v>
      </c>
      <c r="C1730">
        <v>22000280</v>
      </c>
      <c r="D1730">
        <v>88000</v>
      </c>
    </row>
    <row r="1731" spans="1:4" x14ac:dyDescent="0.25">
      <c r="A1731" t="str">
        <f>T("   151710")</f>
        <v xml:space="preserve">   151710</v>
      </c>
      <c r="B1731" t="str">
        <f>T("   Margarine (à l'excl. de la margarine liquide)")</f>
        <v xml:space="preserve">   Margarine (à l'excl. de la margarine liquide)</v>
      </c>
      <c r="C1731">
        <v>71645217</v>
      </c>
      <c r="D1731">
        <v>238010</v>
      </c>
    </row>
    <row r="1732" spans="1:4" x14ac:dyDescent="0.25">
      <c r="A1732" t="str">
        <f>T("   160239")</f>
        <v xml:space="preserve">   160239</v>
      </c>
      <c r="B1732" t="s">
        <v>39</v>
      </c>
      <c r="C1732">
        <v>6000000</v>
      </c>
      <c r="D1732">
        <v>21060</v>
      </c>
    </row>
    <row r="1733" spans="1:4" x14ac:dyDescent="0.25">
      <c r="A1733" t="str">
        <f>T("   160290")</f>
        <v xml:space="preserve">   160290</v>
      </c>
      <c r="B1733" t="s">
        <v>42</v>
      </c>
      <c r="C1733">
        <v>31964520</v>
      </c>
      <c r="D1733">
        <v>95861</v>
      </c>
    </row>
    <row r="1734" spans="1:4" x14ac:dyDescent="0.25">
      <c r="A1734" t="str">
        <f>T("   160413")</f>
        <v xml:space="preserve">   160413</v>
      </c>
      <c r="B1734" t="str">
        <f>T("   Préparations et conserves de sardines, sardinelles, sprats ou esprots, entiers ou en morceaux (à l'excl. des préparations et conserves de poissons hachés)")</f>
        <v xml:space="preserve">   Préparations et conserves de sardines, sardinelles, sprats ou esprots, entiers ou en morceaux (à l'excl. des préparations et conserves de poissons hachés)</v>
      </c>
      <c r="C1734">
        <v>157147660</v>
      </c>
      <c r="D1734">
        <v>272486.5</v>
      </c>
    </row>
    <row r="1735" spans="1:4" x14ac:dyDescent="0.25">
      <c r="A1735" t="str">
        <f>T("   160414")</f>
        <v xml:space="preserve">   160414</v>
      </c>
      <c r="B1735" t="str">
        <f>T("   Préparations et conserves de thons, de listaos et de bonites 'Sarda spp.', entiers ou en morceaux (à l'excl. des préparations et conserves de thons, de listaos et de bonites hachés)")</f>
        <v xml:space="preserve">   Préparations et conserves de thons, de listaos et de bonites 'Sarda spp.', entiers ou en morceaux (à l'excl. des préparations et conserves de thons, de listaos et de bonites hachés)</v>
      </c>
      <c r="C1735">
        <v>75000</v>
      </c>
      <c r="D1735">
        <v>341</v>
      </c>
    </row>
    <row r="1736" spans="1:4" x14ac:dyDescent="0.25">
      <c r="A1736" t="str">
        <f>T("   170111")</f>
        <v xml:space="preserve">   170111</v>
      </c>
      <c r="B1736" t="str">
        <f>T("   Sucres de canne, bruts, sans addition d'aromatisants ou de colorants")</f>
        <v xml:space="preserve">   Sucres de canne, bruts, sans addition d'aromatisants ou de colorants</v>
      </c>
      <c r="C1736">
        <v>2400000</v>
      </c>
      <c r="D1736">
        <v>13400</v>
      </c>
    </row>
    <row r="1737" spans="1:4" x14ac:dyDescent="0.25">
      <c r="A1737" t="str">
        <f>T("   170199")</f>
        <v xml:space="preserve">   170199</v>
      </c>
      <c r="B1737" t="str">
        <f>T("   Sucres de canne ou de betterave et saccharose chimiquement pur, à l'état solide (à l'excl. des sucres bruts et des sucres de canne ou de betterave additionnés d'aromatisants ou de colorants)")</f>
        <v xml:space="preserve">   Sucres de canne ou de betterave et saccharose chimiquement pur, à l'état solide (à l'excl. des sucres bruts et des sucres de canne ou de betterave additionnés d'aromatisants ou de colorants)</v>
      </c>
      <c r="C1737">
        <v>50916600</v>
      </c>
      <c r="D1737">
        <v>424305</v>
      </c>
    </row>
    <row r="1738" spans="1:4" x14ac:dyDescent="0.25">
      <c r="A1738" t="str">
        <f>T("   170410")</f>
        <v xml:space="preserve">   170410</v>
      </c>
      <c r="B1738" t="str">
        <f>T("   Gommes à mâcher [chewing-gum], même enrobées de sucre")</f>
        <v xml:space="preserve">   Gommes à mâcher [chewing-gum], même enrobées de sucre</v>
      </c>
      <c r="C1738">
        <v>216998785</v>
      </c>
      <c r="D1738">
        <v>563976</v>
      </c>
    </row>
    <row r="1739" spans="1:4" x14ac:dyDescent="0.25">
      <c r="A1739" t="str">
        <f>T("   170490")</f>
        <v xml:space="preserve">   170490</v>
      </c>
      <c r="B1739" t="str">
        <f>T("   Sucreries sans cacao, y.c. le chocolat blanc (à l'excl. des gommes à mâcher)")</f>
        <v xml:space="preserve">   Sucreries sans cacao, y.c. le chocolat blanc (à l'excl. des gommes à mâcher)</v>
      </c>
      <c r="C1739">
        <v>937881693</v>
      </c>
      <c r="D1739">
        <v>2959010.24</v>
      </c>
    </row>
    <row r="1740" spans="1:4" x14ac:dyDescent="0.25">
      <c r="A1740" t="str">
        <f>T("   180610")</f>
        <v xml:space="preserve">   180610</v>
      </c>
      <c r="B1740" t="str">
        <f>T("   Poudre de cacao, additionnée de sucre ou d'autres édulcorants")</f>
        <v xml:space="preserve">   Poudre de cacao, additionnée de sucre ou d'autres édulcorants</v>
      </c>
      <c r="C1740">
        <v>39117372</v>
      </c>
      <c r="D1740">
        <v>82790</v>
      </c>
    </row>
    <row r="1741" spans="1:4" x14ac:dyDescent="0.25">
      <c r="A1741" t="str">
        <f>T("   180690")</f>
        <v xml:space="preserve">   180690</v>
      </c>
      <c r="B1741" t="str">
        <f>T("   Chocolat et autres préparations alimentaires contenant du cacao, en récipients ou en emballages immédiats d'un contenu &lt;= 2 kg (à l'excl. de la poudre de cacao et des produits présentés en tablettes, barres ou bâtons)")</f>
        <v xml:space="preserve">   Chocolat et autres préparations alimentaires contenant du cacao, en récipients ou en emballages immédiats d'un contenu &lt;= 2 kg (à l'excl. de la poudre de cacao et des produits présentés en tablettes, barres ou bâtons)</v>
      </c>
      <c r="C1741">
        <v>16270039</v>
      </c>
      <c r="D1741">
        <v>70094</v>
      </c>
    </row>
    <row r="1742" spans="1:4" x14ac:dyDescent="0.25">
      <c r="A1742" t="str">
        <f>T("   190110")</f>
        <v xml:space="preserve">   190110</v>
      </c>
      <c r="B1742" t="s">
        <v>46</v>
      </c>
      <c r="C1742">
        <v>2400000</v>
      </c>
      <c r="D1742">
        <v>11000</v>
      </c>
    </row>
    <row r="1743" spans="1:4" x14ac:dyDescent="0.25">
      <c r="A1743" t="str">
        <f>T("   190190")</f>
        <v xml:space="preserve">   190190</v>
      </c>
      <c r="B1743" t="s">
        <v>48</v>
      </c>
      <c r="C1743">
        <v>463473090</v>
      </c>
      <c r="D1743">
        <v>1230191</v>
      </c>
    </row>
    <row r="1744" spans="1:4" x14ac:dyDescent="0.25">
      <c r="A1744" t="str">
        <f>T("   190211")</f>
        <v xml:space="preserve">   190211</v>
      </c>
      <c r="B1744" t="str">
        <f>T("   Pâtes alimentaires non cuites ni farcies ni autrement préparées, contenant des oeufs")</f>
        <v xml:space="preserve">   Pâtes alimentaires non cuites ni farcies ni autrement préparées, contenant des oeufs</v>
      </c>
      <c r="C1744">
        <v>46497</v>
      </c>
      <c r="D1744">
        <v>500</v>
      </c>
    </row>
    <row r="1745" spans="1:4" x14ac:dyDescent="0.25">
      <c r="A1745" t="str">
        <f>T("   190219")</f>
        <v xml:space="preserve">   190219</v>
      </c>
      <c r="B1745" t="str">
        <f>T("   PÂTES ALIMENTAIRES NON-CUITES NI FARCIES NI AUTREMENT PRÉPARÉES, NE CONTENANT PAS D'OEUFS")</f>
        <v xml:space="preserve">   PÂTES ALIMENTAIRES NON-CUITES NI FARCIES NI AUTREMENT PRÉPARÉES, NE CONTENANT PAS D'OEUFS</v>
      </c>
      <c r="C1745">
        <v>138729046</v>
      </c>
      <c r="D1745">
        <v>614205</v>
      </c>
    </row>
    <row r="1746" spans="1:4" x14ac:dyDescent="0.25">
      <c r="A1746" t="str">
        <f>T("   190230")</f>
        <v xml:space="preserve">   190230</v>
      </c>
      <c r="B1746" t="str">
        <f>T("   Pâtes alimentaires, cuites ou autrement préparées (à l'excl. des pâtes alimentaires farcies)")</f>
        <v xml:space="preserve">   Pâtes alimentaires, cuites ou autrement préparées (à l'excl. des pâtes alimentaires farcies)</v>
      </c>
      <c r="C1746">
        <v>290863993</v>
      </c>
      <c r="D1746">
        <v>1198404</v>
      </c>
    </row>
    <row r="1747" spans="1:4" x14ac:dyDescent="0.25">
      <c r="A1747" t="str">
        <f>T("   190240")</f>
        <v xml:space="preserve">   190240</v>
      </c>
      <c r="B1747" t="str">
        <f>T("   Couscous, même préparé")</f>
        <v xml:space="preserve">   Couscous, même préparé</v>
      </c>
      <c r="C1747">
        <v>15675000</v>
      </c>
      <c r="D1747">
        <v>108500</v>
      </c>
    </row>
    <row r="1748" spans="1:4" x14ac:dyDescent="0.25">
      <c r="A1748" t="str">
        <f>T("   190531")</f>
        <v xml:space="preserve">   190531</v>
      </c>
      <c r="B1748" t="str">
        <f>T("   Biscuits additionnés d'édulcorants")</f>
        <v xml:space="preserve">   Biscuits additionnés d'édulcorants</v>
      </c>
      <c r="C1748">
        <v>126233857</v>
      </c>
      <c r="D1748">
        <v>295258</v>
      </c>
    </row>
    <row r="1749" spans="1:4" x14ac:dyDescent="0.25">
      <c r="A1749" t="str">
        <f>T("   190590")</f>
        <v xml:space="preserve">   190590</v>
      </c>
      <c r="B1749" t="s">
        <v>50</v>
      </c>
      <c r="C1749">
        <v>40978659</v>
      </c>
      <c r="D1749">
        <v>164861</v>
      </c>
    </row>
    <row r="1750" spans="1:4" x14ac:dyDescent="0.25">
      <c r="A1750" t="str">
        <f>T("   200190")</f>
        <v xml:space="preserve">   200190</v>
      </c>
      <c r="B1750" t="str">
        <f>T("   Légumes, fruits et autres parties comestibles de plantes, préparés ou conservés au vinaigre ou à l'acide acétique (à l'excl. des concombres et des cornichons)")</f>
        <v xml:space="preserve">   Légumes, fruits et autres parties comestibles de plantes, préparés ou conservés au vinaigre ou à l'acide acétique (à l'excl. des concombres et des cornichons)</v>
      </c>
      <c r="C1750">
        <v>24511000</v>
      </c>
      <c r="D1750">
        <v>53285</v>
      </c>
    </row>
    <row r="1751" spans="1:4" x14ac:dyDescent="0.25">
      <c r="A1751" t="str">
        <f>T("   200290")</f>
        <v xml:space="preserve">   200290</v>
      </c>
      <c r="B1751" t="str">
        <f>T("   Tomates, préparées ou conservées autrement qu'au vinaigre ou à l'acide acétique (à l'excl. des tomates entières ou en morceaux)")</f>
        <v xml:space="preserve">   Tomates, préparées ou conservées autrement qu'au vinaigre ou à l'acide acétique (à l'excl. des tomates entières ou en morceaux)</v>
      </c>
      <c r="C1751">
        <v>2339674812</v>
      </c>
      <c r="D1751">
        <v>7236660</v>
      </c>
    </row>
    <row r="1752" spans="1:4" x14ac:dyDescent="0.25">
      <c r="A1752" t="str">
        <f>T("   200310")</f>
        <v xml:space="preserve">   200310</v>
      </c>
      <c r="B1752" t="str">
        <f>T("   Champignons du genre 'Agaricus', préparés ou conservés autrement qu'au vinaigre ou à l'acide acétique")</f>
        <v xml:space="preserve">   Champignons du genre 'Agaricus', préparés ou conservés autrement qu'au vinaigre ou à l'acide acétique</v>
      </c>
      <c r="C1752">
        <v>2306355</v>
      </c>
      <c r="D1752">
        <v>5000</v>
      </c>
    </row>
    <row r="1753" spans="1:4" x14ac:dyDescent="0.25">
      <c r="A1753" t="str">
        <f>T("   200540")</f>
        <v xml:space="preserve">   200540</v>
      </c>
      <c r="B1753" t="str">
        <f>T("   Pois [Pisum sativum], préparés ou conservés autrement qu'au vinaigre ou à l'acide acétique, non congelés")</f>
        <v xml:space="preserve">   Pois [Pisum sativum], préparés ou conservés autrement qu'au vinaigre ou à l'acide acétique, non congelés</v>
      </c>
      <c r="C1753">
        <v>7841688</v>
      </c>
      <c r="D1753">
        <v>35024</v>
      </c>
    </row>
    <row r="1754" spans="1:4" x14ac:dyDescent="0.25">
      <c r="A1754" t="str">
        <f>T("   200551")</f>
        <v xml:space="preserve">   200551</v>
      </c>
      <c r="B1754" t="str">
        <f>T("   Haricots [Vigna spp., Phaseolus spp.], en grains, préparés ou conservés autrement qu'au vinaigre ou à l'acide acétique, non congelés")</f>
        <v xml:space="preserve">   Haricots [Vigna spp., Phaseolus spp.], en grains, préparés ou conservés autrement qu'au vinaigre ou à l'acide acétique, non congelés</v>
      </c>
      <c r="C1754">
        <v>5349000</v>
      </c>
      <c r="D1754">
        <v>33950</v>
      </c>
    </row>
    <row r="1755" spans="1:4" x14ac:dyDescent="0.25">
      <c r="A1755" t="str">
        <f>T("   200559")</f>
        <v xml:space="preserve">   200559</v>
      </c>
      <c r="B1755" t="str">
        <f>T("   Haricots [Vigna spp., Phaseolus spp.], préparés ou conservés autrement qu'au vinaigre ou à l'acide acétique, non congelés (à l'excl. des haricots en grains)")</f>
        <v xml:space="preserve">   Haricots [Vigna spp., Phaseolus spp.], préparés ou conservés autrement qu'au vinaigre ou à l'acide acétique, non congelés (à l'excl. des haricots en grains)</v>
      </c>
      <c r="C1755">
        <v>6500000</v>
      </c>
      <c r="D1755">
        <v>48020</v>
      </c>
    </row>
    <row r="1756" spans="1:4" x14ac:dyDescent="0.25">
      <c r="A1756" t="str">
        <f>T("   200580")</f>
        <v xml:space="preserve">   200580</v>
      </c>
      <c r="B1756" t="str">
        <f>T("   Maïs doux [Zea mays var. saccharata], préparé ou conservé autrement qu'au vinaigre ou à l'acide acétique, non congelé")</f>
        <v xml:space="preserve">   Maïs doux [Zea mays var. saccharata], préparé ou conservé autrement qu'au vinaigre ou à l'acide acétique, non congelé</v>
      </c>
      <c r="C1756">
        <v>1544130</v>
      </c>
      <c r="D1756">
        <v>5000</v>
      </c>
    </row>
    <row r="1757" spans="1:4" x14ac:dyDescent="0.25">
      <c r="A1757" t="str">
        <f>T("   200710")</f>
        <v xml:space="preserve">   200710</v>
      </c>
      <c r="B1757" t="s">
        <v>52</v>
      </c>
      <c r="C1757">
        <v>1800000</v>
      </c>
      <c r="D1757">
        <v>10360</v>
      </c>
    </row>
    <row r="1758" spans="1:4" x14ac:dyDescent="0.25">
      <c r="A1758" t="str">
        <f>T("   200919")</f>
        <v xml:space="preserve">   200919</v>
      </c>
      <c r="B1758" t="str">
        <f>T("   JUS D'ORANGE, NON-FERMENTÉS, SANS ADDITION D'ALCOOL, AVEC OU SANS ADDITION DE SUCRE OU D'AUTRES ÉDULCORANTS (À L'EXCL. DES JUS CONGELÉS ET DES JUS D'UNE VALEUR BRIX &lt;= 20 À 20°C)")</f>
        <v xml:space="preserve">   JUS D'ORANGE, NON-FERMENTÉS, SANS ADDITION D'ALCOOL, AVEC OU SANS ADDITION DE SUCRE OU D'AUTRES ÉDULCORANTS (À L'EXCL. DES JUS CONGELÉS ET DES JUS D'UNE VALEUR BRIX &lt;= 20 À 20°C)</v>
      </c>
      <c r="C1758">
        <v>20726849</v>
      </c>
      <c r="D1758">
        <v>46762</v>
      </c>
    </row>
    <row r="1759" spans="1:4" x14ac:dyDescent="0.25">
      <c r="A1759" t="str">
        <f>T("   200949")</f>
        <v xml:space="preserve">   200949</v>
      </c>
      <c r="B1759" t="str">
        <f>T("   JUS D'ANANAS, NON-FERMENTÉS, SANS ADDITION D'ALCOOL, AVEC OU SANS ADDITION DE SUCRE OU D'AUTRES ÉDULCORANTS, D'UNE VALEUR BRIX &gt; 20 À 20°C")</f>
        <v xml:space="preserve">   JUS D'ANANAS, NON-FERMENTÉS, SANS ADDITION D'ALCOOL, AVEC OU SANS ADDITION DE SUCRE OU D'AUTRES ÉDULCORANTS, D'UNE VALEUR BRIX &gt; 20 À 20°C</v>
      </c>
      <c r="C1759">
        <v>3283547</v>
      </c>
      <c r="D1759">
        <v>24129</v>
      </c>
    </row>
    <row r="1760" spans="1:4" x14ac:dyDescent="0.25">
      <c r="A1760" t="str">
        <f>T("   200980")</f>
        <v xml:space="preserve">   200980</v>
      </c>
      <c r="B1760" t="str">
        <f>T("   JUS DE FRUITS OU DE LÉGUMES, NON-FERMENTÉS, SANS ADDITION D'ALCOOL, AVEC OU SANS ADDITION DE SUCRE OU D'AUTRES ÉDULCORANTS (À L'EXCL. DES MÉLANGES AINSI QUE DES JUS D'AGRUMES, D'ANANAS, DE TOMATE, DE RAISIN - Y.C. LES MOÛTS - ET DE POMME)")</f>
        <v xml:space="preserve">   JUS DE FRUITS OU DE LÉGUMES, NON-FERMENTÉS, SANS ADDITION D'ALCOOL, AVEC OU SANS ADDITION DE SUCRE OU D'AUTRES ÉDULCORANTS (À L'EXCL. DES MÉLANGES AINSI QUE DES JUS D'AGRUMES, D'ANANAS, DE TOMATE, DE RAISIN - Y.C. LES MOÛTS - ET DE POMME)</v>
      </c>
      <c r="C1760">
        <v>15762603</v>
      </c>
      <c r="D1760">
        <v>87543</v>
      </c>
    </row>
    <row r="1761" spans="1:4" x14ac:dyDescent="0.25">
      <c r="A1761" t="str">
        <f>T("   200990")</f>
        <v xml:space="preserve">   200990</v>
      </c>
      <c r="B1761" t="str">
        <f>T("   MÉLANGES DE JUS DE FRUITS - Y.C. LES MOÛTS DE RAISIN - ET DE JUS DE LÉGUMES, NON-FERMENTÉS, SANS ADDITION D'ALCOOL, AVEC OU SANS ADDITION DE SUCRE OU D'AUTRES ÉDULCORANTS")</f>
        <v xml:space="preserve">   MÉLANGES DE JUS DE FRUITS - Y.C. LES MOÛTS DE RAISIN - ET DE JUS DE LÉGUMES, NON-FERMENTÉS, SANS ADDITION D'ALCOOL, AVEC OU SANS ADDITION DE SUCRE OU D'AUTRES ÉDULCORANTS</v>
      </c>
      <c r="C1761">
        <v>24395532</v>
      </c>
      <c r="D1761">
        <v>110977</v>
      </c>
    </row>
    <row r="1762" spans="1:4" x14ac:dyDescent="0.25">
      <c r="A1762" t="str">
        <f>T("   210120")</f>
        <v xml:space="preserve">   210120</v>
      </c>
      <c r="B1762" t="str">
        <f>T("   Extraits, essences et concentrés de thé ou de maté et préparations à base de ces extraits, essences et concentrés ou à base de thé ou de maté")</f>
        <v xml:space="preserve">   Extraits, essences et concentrés de thé ou de maté et préparations à base de ces extraits, essences et concentrés ou à base de thé ou de maté</v>
      </c>
      <c r="C1762">
        <v>300000</v>
      </c>
      <c r="D1762">
        <v>850</v>
      </c>
    </row>
    <row r="1763" spans="1:4" x14ac:dyDescent="0.25">
      <c r="A1763" t="str">
        <f>T("   210210")</f>
        <v xml:space="preserve">   210210</v>
      </c>
      <c r="B1763" t="str">
        <f>T("   Levures vivantes")</f>
        <v xml:space="preserve">   Levures vivantes</v>
      </c>
      <c r="C1763">
        <v>28934393</v>
      </c>
      <c r="D1763">
        <v>62680</v>
      </c>
    </row>
    <row r="1764" spans="1:4" x14ac:dyDescent="0.25">
      <c r="A1764" t="str">
        <f>T("   210220")</f>
        <v xml:space="preserve">   210220</v>
      </c>
      <c r="B1764" t="str">
        <f>T("   Levures mortes; autres micro-organismes monocellulaires morts (à l'excl. des micro-organismes monocellulaires conditionnés comme médicaments)")</f>
        <v xml:space="preserve">   Levures mortes; autres micro-organismes monocellulaires morts (à l'excl. des micro-organismes monocellulaires conditionnés comme médicaments)</v>
      </c>
      <c r="C1764">
        <v>24262532</v>
      </c>
      <c r="D1764">
        <v>35387</v>
      </c>
    </row>
    <row r="1765" spans="1:4" x14ac:dyDescent="0.25">
      <c r="A1765" t="str">
        <f>T("   210230")</f>
        <v xml:space="preserve">   210230</v>
      </c>
      <c r="B1765" t="str">
        <f>T("   Poudres à lever préparées")</f>
        <v xml:space="preserve">   Poudres à lever préparées</v>
      </c>
      <c r="C1765">
        <v>12000000</v>
      </c>
      <c r="D1765">
        <v>56600</v>
      </c>
    </row>
    <row r="1766" spans="1:4" x14ac:dyDescent="0.25">
      <c r="A1766" t="str">
        <f>T("   210320")</f>
        <v xml:space="preserve">   210320</v>
      </c>
      <c r="B1766" t="str">
        <f>T("   Tomato ketchup et autres sauces tomates")</f>
        <v xml:space="preserve">   Tomato ketchup et autres sauces tomates</v>
      </c>
      <c r="C1766">
        <v>92879878</v>
      </c>
      <c r="D1766">
        <v>311221</v>
      </c>
    </row>
    <row r="1767" spans="1:4" x14ac:dyDescent="0.25">
      <c r="A1767" t="str">
        <f>T("   210390")</f>
        <v xml:space="preserve">   210390</v>
      </c>
      <c r="B1767" t="str">
        <f>T("   Préparations pour sauces et sauces préparées; condiments et assaisonnements, composés (à l'excl. de la sauce de soja, du tomato ketchup et autres sauces tomates, de la farine de moutarde et de la moutarde préparée)")</f>
        <v xml:space="preserve">   Préparations pour sauces et sauces préparées; condiments et assaisonnements, composés (à l'excl. de la sauce de soja, du tomato ketchup et autres sauces tomates, de la farine de moutarde et de la moutarde préparée)</v>
      </c>
      <c r="C1767">
        <v>318519966</v>
      </c>
      <c r="D1767">
        <v>692854</v>
      </c>
    </row>
    <row r="1768" spans="1:4" x14ac:dyDescent="0.25">
      <c r="A1768" t="str">
        <f>T("   210410")</f>
        <v xml:space="preserve">   210410</v>
      </c>
      <c r="B1768" t="str">
        <f>T("   Préparations pour soupes, potages ou bouillons; soupes, potages ou bouillons préparés")</f>
        <v xml:space="preserve">   Préparations pour soupes, potages ou bouillons; soupes, potages ou bouillons préparés</v>
      </c>
      <c r="C1768">
        <v>1436504089</v>
      </c>
      <c r="D1768">
        <v>4002973</v>
      </c>
    </row>
    <row r="1769" spans="1:4" x14ac:dyDescent="0.25">
      <c r="A1769" t="str">
        <f>T("   210420")</f>
        <v xml:space="preserve">   210420</v>
      </c>
      <c r="B1769" t="s">
        <v>56</v>
      </c>
      <c r="C1769">
        <v>100000</v>
      </c>
      <c r="D1769">
        <v>40</v>
      </c>
    </row>
    <row r="1770" spans="1:4" x14ac:dyDescent="0.25">
      <c r="A1770" t="str">
        <f>T("   210610")</f>
        <v xml:space="preserve">   210610</v>
      </c>
      <c r="B1770" t="str">
        <f>T("   Concentrats de protéines et substances protéiques texturées")</f>
        <v xml:space="preserve">   Concentrats de protéines et substances protéiques texturées</v>
      </c>
      <c r="C1770">
        <v>2585135</v>
      </c>
      <c r="D1770">
        <v>3620</v>
      </c>
    </row>
    <row r="1771" spans="1:4" x14ac:dyDescent="0.25">
      <c r="A1771" t="str">
        <f>T("   210690")</f>
        <v xml:space="preserve">   210690</v>
      </c>
      <c r="B1771" t="str">
        <f>T("   Préparations alimentaires, n.d.a.")</f>
        <v xml:space="preserve">   Préparations alimentaires, n.d.a.</v>
      </c>
      <c r="C1771">
        <v>132032993</v>
      </c>
      <c r="D1771">
        <v>321171</v>
      </c>
    </row>
    <row r="1772" spans="1:4" x14ac:dyDescent="0.25">
      <c r="A1772" t="str">
        <f>T("   220110")</f>
        <v xml:space="preserve">   220110</v>
      </c>
      <c r="B1772" t="str">
        <f>T("   Eaux minérales et eaux gazéifiées, non additionnées de sucre ou d'autres édulcorants ni aromatisées")</f>
        <v xml:space="preserve">   Eaux minérales et eaux gazéifiées, non additionnées de sucre ou d'autres édulcorants ni aromatisées</v>
      </c>
      <c r="C1772">
        <v>2530450</v>
      </c>
      <c r="D1772">
        <v>27590</v>
      </c>
    </row>
    <row r="1773" spans="1:4" x14ac:dyDescent="0.25">
      <c r="A1773" t="str">
        <f>T("   220210")</f>
        <v xml:space="preserve">   220210</v>
      </c>
      <c r="B1773" t="str">
        <f>T("   Eaux, y.c. les eaux minérales et les eaux gazéifiées, additionnées de sucre ou d'autres édulcorants ou aromatisées, directement consommables en l'état en tant que boissons")</f>
        <v xml:space="preserve">   Eaux, y.c. les eaux minérales et les eaux gazéifiées, additionnées de sucre ou d'autres édulcorants ou aromatisées, directement consommables en l'état en tant que boissons</v>
      </c>
      <c r="C1773">
        <v>3055003</v>
      </c>
      <c r="D1773">
        <v>16961</v>
      </c>
    </row>
    <row r="1774" spans="1:4" x14ac:dyDescent="0.25">
      <c r="A1774" t="str">
        <f>T("   220290")</f>
        <v xml:space="preserve">   220290</v>
      </c>
      <c r="B1774" t="str">
        <f>T("   BOISSONS NON-ALCOOLIQUES (À L'EXCL. DES EAUX, DES JUS DE FRUITS OU DE LÉGUMES AINSI QUE DU LAIT)")</f>
        <v xml:space="preserve">   BOISSONS NON-ALCOOLIQUES (À L'EXCL. DES EAUX, DES JUS DE FRUITS OU DE LÉGUMES AINSI QUE DU LAIT)</v>
      </c>
      <c r="C1774">
        <v>61846673</v>
      </c>
      <c r="D1774">
        <v>338238</v>
      </c>
    </row>
    <row r="1775" spans="1:4" x14ac:dyDescent="0.25">
      <c r="A1775" t="str">
        <f>T("   220300")</f>
        <v xml:space="preserve">   220300</v>
      </c>
      <c r="B1775" t="str">
        <f>T("   Bières de malt")</f>
        <v xml:space="preserve">   Bières de malt</v>
      </c>
      <c r="C1775">
        <v>146497</v>
      </c>
      <c r="D1775">
        <v>25</v>
      </c>
    </row>
    <row r="1776" spans="1:4" x14ac:dyDescent="0.25">
      <c r="A1776" t="str">
        <f>T("   220410")</f>
        <v xml:space="preserve">   220410</v>
      </c>
      <c r="B1776" t="str">
        <f>T("   Vins mousseux produits à partir de raisins frais")</f>
        <v xml:space="preserve">   Vins mousseux produits à partir de raisins frais</v>
      </c>
      <c r="C1776">
        <v>1000000</v>
      </c>
      <c r="D1776">
        <v>13000</v>
      </c>
    </row>
    <row r="1777" spans="1:4" x14ac:dyDescent="0.25">
      <c r="A1777" t="str">
        <f>T("   220421")</f>
        <v xml:space="preserve">   220421</v>
      </c>
      <c r="B1777" t="str">
        <f>T("   Vins de raisins frais, y.c. les vins enrichis en alcool (à l'excl. des vins mousseux); moûts de raisins dont la fermentation a été empêchée ou arrêtée par addition d'alcool, en récipients d'une contenance &lt;= 2 l")</f>
        <v xml:space="preserve">   Vins de raisins frais, y.c. les vins enrichis en alcool (à l'excl. des vins mousseux); moûts de raisins dont la fermentation a été empêchée ou arrêtée par addition d'alcool, en récipients d'une contenance &lt;= 2 l</v>
      </c>
      <c r="C1777">
        <v>12000000</v>
      </c>
      <c r="D1777">
        <v>81883</v>
      </c>
    </row>
    <row r="1778" spans="1:4" x14ac:dyDescent="0.25">
      <c r="A1778" t="str">
        <f>T("   220429")</f>
        <v xml:space="preserve">   220429</v>
      </c>
      <c r="B1778" t="str">
        <f>T("   VINS DE RAISINS FRAIS, Y.C. LES VINS ENRICHIS EN ALCOOL, ET MOÛTS DE RAISINS DONT LA FERMENTATION A ÉTÉ EMPÊCHÉE OU ARRÊTÉE PAR ADDITION D'ALCOOL, EN RÉCIPIENTS D'UNE CONTENANCE &gt; 2 L (À L'EXCL. DES VINS MOUSSEUX)")</f>
        <v xml:space="preserve">   VINS DE RAISINS FRAIS, Y.C. LES VINS ENRICHIS EN ALCOOL, ET MOÛTS DE RAISINS DONT LA FERMENTATION A ÉTÉ EMPÊCHÉE OU ARRÊTÉE PAR ADDITION D'ALCOOL, EN RÉCIPIENTS D'UNE CONTENANCE &gt; 2 L (À L'EXCL. DES VINS MOUSSEUX)</v>
      </c>
      <c r="C1778">
        <v>5000000</v>
      </c>
      <c r="D1778">
        <v>44870</v>
      </c>
    </row>
    <row r="1779" spans="1:4" x14ac:dyDescent="0.25">
      <c r="A1779" t="str">
        <f>T("   220590")</f>
        <v xml:space="preserve">   220590</v>
      </c>
      <c r="B1779" t="str">
        <f>T("   Vermouths et autres vins de raisins frais préparés à l'aide de plantes ou de substances aromatiques, en récipients d'une contenance &gt; 2 l")</f>
        <v xml:space="preserve">   Vermouths et autres vins de raisins frais préparés à l'aide de plantes ou de substances aromatiques, en récipients d'une contenance &gt; 2 l</v>
      </c>
      <c r="C1779">
        <v>7000000</v>
      </c>
      <c r="D1779">
        <v>4000</v>
      </c>
    </row>
    <row r="1780" spans="1:4" x14ac:dyDescent="0.25">
      <c r="A1780" t="str">
        <f>T("   220710")</f>
        <v xml:space="preserve">   220710</v>
      </c>
      <c r="B1780" t="str">
        <f>T("   Alcool éthylique non dénaturé d'un titre alcoométrique volumique &gt;= 80% vol")</f>
        <v xml:space="preserve">   Alcool éthylique non dénaturé d'un titre alcoométrique volumique &gt;= 80% vol</v>
      </c>
      <c r="C1780">
        <v>131192000</v>
      </c>
      <c r="D1780">
        <v>423400</v>
      </c>
    </row>
    <row r="1781" spans="1:4" x14ac:dyDescent="0.25">
      <c r="A1781" t="str">
        <f>T("   220830")</f>
        <v xml:space="preserve">   220830</v>
      </c>
      <c r="B1781" t="str">
        <f>T("   Whiskies")</f>
        <v xml:space="preserve">   Whiskies</v>
      </c>
      <c r="C1781">
        <v>7400000</v>
      </c>
      <c r="D1781">
        <v>13200</v>
      </c>
    </row>
    <row r="1782" spans="1:4" x14ac:dyDescent="0.25">
      <c r="A1782" t="str">
        <f>T("   220840")</f>
        <v xml:space="preserve">   220840</v>
      </c>
      <c r="B1782" t="str">
        <f>T("   RHUM ET AUTRES EAUX-DE-VIE PROVENANT DE LA DISTILLATION, APRÈS FERMENTATION, DE PRODUITS DE CANNES À SUCRE")</f>
        <v xml:space="preserve">   RHUM ET AUTRES EAUX-DE-VIE PROVENANT DE LA DISTILLATION, APRÈS FERMENTATION, DE PRODUITS DE CANNES À SUCRE</v>
      </c>
      <c r="C1782">
        <v>6000000</v>
      </c>
      <c r="D1782">
        <v>32140</v>
      </c>
    </row>
    <row r="1783" spans="1:4" x14ac:dyDescent="0.25">
      <c r="A1783" t="str">
        <f>T("   220870")</f>
        <v xml:space="preserve">   220870</v>
      </c>
      <c r="B1783" t="str">
        <f>T("   LIQUEURS")</f>
        <v xml:space="preserve">   LIQUEURS</v>
      </c>
      <c r="C1783">
        <v>5682393</v>
      </c>
      <c r="D1783">
        <v>10800</v>
      </c>
    </row>
    <row r="1784" spans="1:4" x14ac:dyDescent="0.25">
      <c r="A1784" t="str">
        <f>T("   220890")</f>
        <v xml:space="preserve">   220890</v>
      </c>
      <c r="B1784" t="s">
        <v>58</v>
      </c>
      <c r="C1784">
        <v>18422319</v>
      </c>
      <c r="D1784">
        <v>79615</v>
      </c>
    </row>
    <row r="1785" spans="1:4" x14ac:dyDescent="0.25">
      <c r="A1785" t="str">
        <f>T("   220900")</f>
        <v xml:space="preserve">   220900</v>
      </c>
      <c r="B1785" t="str">
        <f>T("   Vinaigres comestibles et succédanés de vinaigre comestibles obtenus à partir d'acide acétique")</f>
        <v xml:space="preserve">   Vinaigres comestibles et succédanés de vinaigre comestibles obtenus à partir d'acide acétique</v>
      </c>
      <c r="C1785">
        <v>4257625</v>
      </c>
      <c r="D1785">
        <v>9020</v>
      </c>
    </row>
    <row r="1786" spans="1:4" x14ac:dyDescent="0.25">
      <c r="A1786" t="str">
        <f>T("   240220")</f>
        <v xml:space="preserve">   240220</v>
      </c>
      <c r="B1786" t="str">
        <f>T("   Cigarettes contenant du tabac")</f>
        <v xml:space="preserve">   Cigarettes contenant du tabac</v>
      </c>
      <c r="C1786">
        <v>70661108</v>
      </c>
      <c r="D1786">
        <v>32200</v>
      </c>
    </row>
    <row r="1787" spans="1:4" x14ac:dyDescent="0.25">
      <c r="A1787" t="str">
        <f>T("   250100")</f>
        <v xml:space="preserve">   250100</v>
      </c>
      <c r="B1787" t="s">
        <v>60</v>
      </c>
      <c r="C1787">
        <v>8834259</v>
      </c>
      <c r="D1787">
        <v>251704</v>
      </c>
    </row>
    <row r="1788" spans="1:4" x14ac:dyDescent="0.25">
      <c r="A1788" t="str">
        <f>T("   250300")</f>
        <v xml:space="preserve">   250300</v>
      </c>
      <c r="B1788" t="str">
        <f>T("   Soufres de toute espèce (à l'excl. du soufre sublimé, du soufre précipité ou du soufre colloïdal)")</f>
        <v xml:space="preserve">   Soufres de toute espèce (à l'excl. du soufre sublimé, du soufre précipité ou du soufre colloïdal)</v>
      </c>
      <c r="C1788">
        <v>15654712</v>
      </c>
      <c r="D1788">
        <v>102010</v>
      </c>
    </row>
    <row r="1789" spans="1:4" x14ac:dyDescent="0.25">
      <c r="A1789" t="str">
        <f>T("   250810")</f>
        <v xml:space="preserve">   250810</v>
      </c>
      <c r="B1789" t="str">
        <f>T("   Bentonite")</f>
        <v xml:space="preserve">   Bentonite</v>
      </c>
      <c r="C1789">
        <v>334166</v>
      </c>
      <c r="D1789">
        <v>588</v>
      </c>
    </row>
    <row r="1790" spans="1:4" x14ac:dyDescent="0.25">
      <c r="A1790" t="str">
        <f>T("   252020")</f>
        <v xml:space="preserve">   252020</v>
      </c>
      <c r="B1790" t="str">
        <f>T("   Plâtres, même colorés ou additionnés de faibles quantités d'accélérateurs ou de retardateurs")</f>
        <v xml:space="preserve">   Plâtres, même colorés ou additionnés de faibles quantités d'accélérateurs ou de retardateurs</v>
      </c>
      <c r="C1790">
        <v>2264750</v>
      </c>
      <c r="D1790">
        <v>21102</v>
      </c>
    </row>
    <row r="1791" spans="1:4" x14ac:dyDescent="0.25">
      <c r="A1791" t="str">
        <f>T("   252329")</f>
        <v xml:space="preserve">   252329</v>
      </c>
      <c r="B1791" t="str">
        <f>T("   Ciment Portland normal ou modéré (à l'excl. des ciments Portland blancs, même colorés artificiellement)")</f>
        <v xml:space="preserve">   Ciment Portland normal ou modéré (à l'excl. des ciments Portland blancs, même colorés artificiellement)</v>
      </c>
      <c r="C1791">
        <v>117154</v>
      </c>
      <c r="D1791">
        <v>3083</v>
      </c>
    </row>
    <row r="1792" spans="1:4" x14ac:dyDescent="0.25">
      <c r="A1792" t="str">
        <f>T("   270500")</f>
        <v xml:space="preserve">   270500</v>
      </c>
      <c r="B1792" t="str">
        <f>T("   Gaz de houille, gaz à l'eau, gaz pauvre et gaz simil. (à l'excl. des gaz de pétrole et autres hydrocarbures gazeux)")</f>
        <v xml:space="preserve">   Gaz de houille, gaz à l'eau, gaz pauvre et gaz simil. (à l'excl. des gaz de pétrole et autres hydrocarbures gazeux)</v>
      </c>
      <c r="C1792">
        <v>5328560</v>
      </c>
      <c r="D1792">
        <v>13280</v>
      </c>
    </row>
    <row r="1793" spans="1:4" x14ac:dyDescent="0.25">
      <c r="A1793" t="str">
        <f>T("   271011")</f>
        <v xml:space="preserve">   271011</v>
      </c>
      <c r="B1793" t="str">
        <f>T("   HUILES LÉGÈRES ET PRÉPARATIONS DE PÉTROLE OU DE MINÉRAUX BITUMINEUX DISTILLANT EN VOLUME, Y.C. LES PERTES, &gt;= 90% À 210°C, D'APRÈS LA MÉTHODE ASTM D 86")</f>
        <v xml:space="preserve">   HUILES LÉGÈRES ET PRÉPARATIONS DE PÉTROLE OU DE MINÉRAUX BITUMINEUX DISTILLANT EN VOLUME, Y.C. LES PERTES, &gt;= 90% À 210°C, D'APRÈS LA MÉTHODE ASTM D 86</v>
      </c>
      <c r="C1793">
        <v>167850</v>
      </c>
      <c r="D1793">
        <v>250</v>
      </c>
    </row>
    <row r="1794" spans="1:4" x14ac:dyDescent="0.25">
      <c r="A1794" t="str">
        <f>T("   271019")</f>
        <v xml:space="preserve">   271019</v>
      </c>
      <c r="B1794" t="str">
        <f>T("   Huiles moyennes et préparations, de pétrole ou de minéraux bitumineux, n.d.a.")</f>
        <v xml:space="preserve">   Huiles moyennes et préparations, de pétrole ou de minéraux bitumineux, n.d.a.</v>
      </c>
      <c r="C1794">
        <v>189323539</v>
      </c>
      <c r="D1794">
        <v>496815</v>
      </c>
    </row>
    <row r="1795" spans="1:4" x14ac:dyDescent="0.25">
      <c r="A1795" t="str">
        <f>T("   271129")</f>
        <v xml:space="preserve">   271129</v>
      </c>
      <c r="B1795" t="str">
        <f>T("   Hydrocarbures à l'état gazeux, n.d.a. (à l'excl. du gaz naturel)")</f>
        <v xml:space="preserve">   Hydrocarbures à l'état gazeux, n.d.a. (à l'excl. du gaz naturel)</v>
      </c>
      <c r="C1795">
        <v>143805</v>
      </c>
      <c r="D1795">
        <v>500</v>
      </c>
    </row>
    <row r="1796" spans="1:4" x14ac:dyDescent="0.25">
      <c r="A1796" t="str">
        <f>T("   271500")</f>
        <v xml:space="preserve">   271500</v>
      </c>
      <c r="B1796" t="str">
        <f>T("   Mastics bitumineux, 'cut-backs' et autres mélanges bitumineux à base d'asphalte ou de bitume naturels, de bitume de pétrole, de goudron minéral ou de brai de goudron minéral")</f>
        <v xml:space="preserve">   Mastics bitumineux, 'cut-backs' et autres mélanges bitumineux à base d'asphalte ou de bitume naturels, de bitume de pétrole, de goudron minéral ou de brai de goudron minéral</v>
      </c>
      <c r="C1796">
        <v>6055000</v>
      </c>
      <c r="D1796">
        <v>20000</v>
      </c>
    </row>
    <row r="1797" spans="1:4" x14ac:dyDescent="0.25">
      <c r="A1797" t="str">
        <f>T("   280429")</f>
        <v xml:space="preserve">   280429</v>
      </c>
      <c r="B1797" t="str">
        <f>T("   Gaz rares (à l'excl. de l'argon)")</f>
        <v xml:space="preserve">   Gaz rares (à l'excl. de l'argon)</v>
      </c>
      <c r="C1797">
        <v>503318</v>
      </c>
      <c r="D1797">
        <v>100</v>
      </c>
    </row>
    <row r="1798" spans="1:4" x14ac:dyDescent="0.25">
      <c r="A1798" t="str">
        <f>T("   280700")</f>
        <v xml:space="preserve">   280700</v>
      </c>
      <c r="B1798" t="str">
        <f>T("   Acide sulfurique; oléum")</f>
        <v xml:space="preserve">   Acide sulfurique; oléum</v>
      </c>
      <c r="C1798">
        <v>8575572</v>
      </c>
      <c r="D1798">
        <v>49728</v>
      </c>
    </row>
    <row r="1799" spans="1:4" x14ac:dyDescent="0.25">
      <c r="A1799" t="str">
        <f>T("   281511")</f>
        <v xml:space="preserve">   281511</v>
      </c>
      <c r="B1799" t="str">
        <f>T("   Hydroxyde de sodium [soude caustique], solide")</f>
        <v xml:space="preserve">   Hydroxyde de sodium [soude caustique], solide</v>
      </c>
      <c r="C1799">
        <v>24375410</v>
      </c>
      <c r="D1799">
        <v>82328</v>
      </c>
    </row>
    <row r="1800" spans="1:4" x14ac:dyDescent="0.25">
      <c r="A1800" t="str">
        <f>T("   282300")</f>
        <v xml:space="preserve">   282300</v>
      </c>
      <c r="B1800" t="str">
        <f>T("   Oxydes de titane")</f>
        <v xml:space="preserve">   Oxydes de titane</v>
      </c>
      <c r="C1800">
        <v>17927865</v>
      </c>
      <c r="D1800">
        <v>12076</v>
      </c>
    </row>
    <row r="1801" spans="1:4" x14ac:dyDescent="0.25">
      <c r="A1801" t="str">
        <f>T("   283322")</f>
        <v xml:space="preserve">   283322</v>
      </c>
      <c r="B1801" t="str">
        <f>T("   SULFATE D'ALUMINIUM")</f>
        <v xml:space="preserve">   SULFATE D'ALUMINIUM</v>
      </c>
      <c r="C1801">
        <v>18393124</v>
      </c>
      <c r="D1801">
        <v>40080</v>
      </c>
    </row>
    <row r="1802" spans="1:4" x14ac:dyDescent="0.25">
      <c r="A1802" t="str">
        <f>T("   283650")</f>
        <v xml:space="preserve">   283650</v>
      </c>
      <c r="B1802" t="str">
        <f>T("   Carbonate de calcium")</f>
        <v xml:space="preserve">   Carbonate de calcium</v>
      </c>
      <c r="C1802">
        <v>14792250</v>
      </c>
      <c r="D1802">
        <v>71550</v>
      </c>
    </row>
    <row r="1803" spans="1:4" x14ac:dyDescent="0.25">
      <c r="A1803" t="str">
        <f>T("   284019")</f>
        <v xml:space="preserve">   284019</v>
      </c>
      <c r="B1803" t="str">
        <f>T("   Tétraborate de disodium [borax raffiné] (à l'excl. du tétraborate de disodium anhydre)")</f>
        <v xml:space="preserve">   Tétraborate de disodium [borax raffiné] (à l'excl. du tétraborate de disodium anhydre)</v>
      </c>
      <c r="C1803">
        <v>1488382</v>
      </c>
      <c r="D1803">
        <v>3000</v>
      </c>
    </row>
    <row r="1804" spans="1:4" x14ac:dyDescent="0.25">
      <c r="A1804" t="str">
        <f>T("   284910")</f>
        <v xml:space="preserve">   284910</v>
      </c>
      <c r="B1804" t="str">
        <f>T("   Carbure de calcium, de constitution chimique définie ou non")</f>
        <v xml:space="preserve">   Carbure de calcium, de constitution chimique définie ou non</v>
      </c>
      <c r="C1804">
        <v>13959342</v>
      </c>
      <c r="D1804">
        <v>56601</v>
      </c>
    </row>
    <row r="1805" spans="1:4" x14ac:dyDescent="0.25">
      <c r="A1805" t="str">
        <f>T("   290312")</f>
        <v xml:space="preserve">   290312</v>
      </c>
      <c r="B1805" t="str">
        <f>T("   Dichlorométhane [chlorure de méthylène]")</f>
        <v xml:space="preserve">   Dichlorométhane [chlorure de méthylène]</v>
      </c>
      <c r="C1805">
        <v>3733635</v>
      </c>
      <c r="D1805">
        <v>4795</v>
      </c>
    </row>
    <row r="1806" spans="1:4" x14ac:dyDescent="0.25">
      <c r="A1806" t="str">
        <f>T("   290349")</f>
        <v xml:space="preserve">   290349</v>
      </c>
      <c r="B1806" t="str">
        <f>T("   Dérivés halogénés des hydrocarbures acycliques contenant au moins deux halogènes différents (à l'excl. des dérivés perhalogénés)")</f>
        <v xml:space="preserve">   Dérivés halogénés des hydrocarbures acycliques contenant au moins deux halogènes différents (à l'excl. des dérivés perhalogénés)</v>
      </c>
      <c r="C1806">
        <v>19274664</v>
      </c>
      <c r="D1806">
        <v>18830</v>
      </c>
    </row>
    <row r="1807" spans="1:4" x14ac:dyDescent="0.25">
      <c r="A1807" t="str">
        <f>T("   290549")</f>
        <v xml:space="preserve">   290549</v>
      </c>
      <c r="B1807" t="str">
        <f>T("   Triols, tétrols et autres polyalcools acycliques (à l'excl. des diols, du 2-éthyl-2-(hydroxyméthyl)propane-1,3-diol [triméthylolpropane], du pentaérythritol, du mannitol, du D-glucitol [sorbitol] et du glycérol)")</f>
        <v xml:space="preserve">   Triols, tétrols et autres polyalcools acycliques (à l'excl. des diols, du 2-éthyl-2-(hydroxyméthyl)propane-1,3-diol [triméthylolpropane], du pentaérythritol, du mannitol, du D-glucitol [sorbitol] et du glycérol)</v>
      </c>
      <c r="C1807">
        <v>26619513</v>
      </c>
      <c r="D1807">
        <v>18180</v>
      </c>
    </row>
    <row r="1808" spans="1:4" x14ac:dyDescent="0.25">
      <c r="A1808" t="str">
        <f>T("   291590")</f>
        <v xml:space="preserve">   291590</v>
      </c>
      <c r="B1808" t="s">
        <v>66</v>
      </c>
      <c r="C1808">
        <v>2111847</v>
      </c>
      <c r="D1808">
        <v>550</v>
      </c>
    </row>
    <row r="1809" spans="1:4" x14ac:dyDescent="0.25">
      <c r="A1809" t="str">
        <f>T("   292129")</f>
        <v xml:space="preserve">   292129</v>
      </c>
      <c r="B1809" t="str">
        <f>T("   Polyamines acycliques et leurs dérivés; sels de ces produits (à l'excl. de l'éthylènediamine, de l'hexaméthylènediamine et des sels de ces produits)")</f>
        <v xml:space="preserve">   Polyamines acycliques et leurs dérivés; sels de ces produits (à l'excl. de l'éthylènediamine, de l'hexaméthylènediamine et des sels de ces produits)</v>
      </c>
      <c r="C1809">
        <v>5533304</v>
      </c>
      <c r="D1809">
        <v>900</v>
      </c>
    </row>
    <row r="1810" spans="1:4" x14ac:dyDescent="0.25">
      <c r="A1810" t="str">
        <f>T("   292242")</f>
        <v xml:space="preserve">   292242</v>
      </c>
      <c r="B1810" t="str">
        <f>T("   Acide glutamique et ses sels")</f>
        <v xml:space="preserve">   Acide glutamique et ses sels</v>
      </c>
      <c r="C1810">
        <v>12000480</v>
      </c>
      <c r="D1810">
        <v>38000</v>
      </c>
    </row>
    <row r="1811" spans="1:4" x14ac:dyDescent="0.25">
      <c r="A1811" t="str">
        <f>T("   292320")</f>
        <v xml:space="preserve">   292320</v>
      </c>
      <c r="B1811" t="str">
        <f>T("   Lécithines et autres phosphoaminolipides, de constitution chimique définie ou non")</f>
        <v xml:space="preserve">   Lécithines et autres phosphoaminolipides, de constitution chimique définie ou non</v>
      </c>
      <c r="C1811">
        <v>605675</v>
      </c>
      <c r="D1811">
        <v>600</v>
      </c>
    </row>
    <row r="1812" spans="1:4" x14ac:dyDescent="0.25">
      <c r="A1812" t="str">
        <f>T("   292800")</f>
        <v xml:space="preserve">   292800</v>
      </c>
      <c r="B1812" t="str">
        <f>T("   Dérivés organiques de l'hydrazine ou de l'hydroxylamine")</f>
        <v xml:space="preserve">   Dérivés organiques de l'hydrazine ou de l'hydroxylamine</v>
      </c>
      <c r="C1812">
        <v>462957</v>
      </c>
      <c r="D1812">
        <v>200</v>
      </c>
    </row>
    <row r="1813" spans="1:4" x14ac:dyDescent="0.25">
      <c r="A1813" t="str">
        <f>T("   292910")</f>
        <v xml:space="preserve">   292910</v>
      </c>
      <c r="B1813" t="str">
        <f>T("   Isocyanates")</f>
        <v xml:space="preserve">   Isocyanates</v>
      </c>
      <c r="C1813">
        <v>38094386</v>
      </c>
      <c r="D1813">
        <v>20000</v>
      </c>
    </row>
    <row r="1814" spans="1:4" x14ac:dyDescent="0.25">
      <c r="A1814" t="str">
        <f>T("   293361")</f>
        <v xml:space="preserve">   293361</v>
      </c>
      <c r="B1814" t="str">
        <f>T("   Mélamine")</f>
        <v xml:space="preserve">   Mélamine</v>
      </c>
      <c r="C1814">
        <v>2975325</v>
      </c>
      <c r="D1814">
        <v>4990</v>
      </c>
    </row>
    <row r="1815" spans="1:4" x14ac:dyDescent="0.25">
      <c r="A1815" t="str">
        <f>T("   293420")</f>
        <v xml:space="preserve">   293420</v>
      </c>
      <c r="B1815" t="str">
        <f>T("   COMPOSÉS HÉTÉROCYCLIQUES COMPORTANT UNE STRUCTURE À CYCLES BENZOTHIAZOLE, HYDROGÉNÉS OU NON, SANS AUTRES CONDENSATIONS (À L'EXCL. DES COMPOSÉS INORGANIQUES OU ORGANIQUES DU MERCURE)")</f>
        <v xml:space="preserve">   COMPOSÉS HÉTÉROCYCLIQUES COMPORTANT UNE STRUCTURE À CYCLES BENZOTHIAZOLE, HYDROGÉNÉS OU NON, SANS AUTRES CONDENSATIONS (À L'EXCL. DES COMPOSÉS INORGANIQUES OU ORGANIQUES DU MERCURE)</v>
      </c>
      <c r="C1815">
        <v>38131175</v>
      </c>
      <c r="D1815">
        <v>282080</v>
      </c>
    </row>
    <row r="1816" spans="1:4" x14ac:dyDescent="0.25">
      <c r="A1816" t="str">
        <f>T("   300390")</f>
        <v xml:space="preserve">   300390</v>
      </c>
      <c r="B1816" t="s">
        <v>73</v>
      </c>
      <c r="C1816">
        <v>7830815</v>
      </c>
      <c r="D1816">
        <v>43120</v>
      </c>
    </row>
    <row r="1817" spans="1:4" x14ac:dyDescent="0.25">
      <c r="A1817" t="str">
        <f>T("   300420")</f>
        <v xml:space="preserve">   300420</v>
      </c>
      <c r="B1817" t="s">
        <v>75</v>
      </c>
      <c r="C1817">
        <v>30341670</v>
      </c>
      <c r="D1817">
        <v>951.55</v>
      </c>
    </row>
    <row r="1818" spans="1:4" x14ac:dyDescent="0.25">
      <c r="A1818" t="str">
        <f>T("   300439")</f>
        <v xml:space="preserve">   300439</v>
      </c>
      <c r="B1818" t="s">
        <v>76</v>
      </c>
      <c r="C1818">
        <v>74275554</v>
      </c>
      <c r="D1818">
        <v>34576.44</v>
      </c>
    </row>
    <row r="1819" spans="1:4" x14ac:dyDescent="0.25">
      <c r="A1819" t="str">
        <f>T("   300490")</f>
        <v xml:space="preserve">   300490</v>
      </c>
      <c r="B1819" t="s">
        <v>78</v>
      </c>
      <c r="C1819">
        <v>1146118977</v>
      </c>
      <c r="D1819">
        <v>970068.5</v>
      </c>
    </row>
    <row r="1820" spans="1:4" x14ac:dyDescent="0.25">
      <c r="A1820" t="str">
        <f>T("   300590")</f>
        <v xml:space="preserve">   300590</v>
      </c>
      <c r="B1820" t="s">
        <v>79</v>
      </c>
      <c r="C1820">
        <v>230491186</v>
      </c>
      <c r="D1820">
        <v>158362</v>
      </c>
    </row>
    <row r="1821" spans="1:4" x14ac:dyDescent="0.25">
      <c r="A1821" t="str">
        <f>T("   300630")</f>
        <v xml:space="preserve">   300630</v>
      </c>
      <c r="B1821" t="str">
        <f>T("   Préparations opacifiantes pour examens radiographiques; réactifs de diagnostic conçus pour être employés sur le patient")</f>
        <v xml:space="preserve">   Préparations opacifiantes pour examens radiographiques; réactifs de diagnostic conçus pour être employés sur le patient</v>
      </c>
      <c r="C1821">
        <v>11504400</v>
      </c>
      <c r="D1821">
        <v>1500</v>
      </c>
    </row>
    <row r="1822" spans="1:4" x14ac:dyDescent="0.25">
      <c r="A1822" t="str">
        <f>T("   320490")</f>
        <v xml:space="preserve">   320490</v>
      </c>
      <c r="B1822" t="str">
        <f>T("   Produits organiques synthétiques des types utilisés comme luminophores, même de constitution chimique définie")</f>
        <v xml:space="preserve">   Produits organiques synthétiques des types utilisés comme luminophores, même de constitution chimique définie</v>
      </c>
      <c r="C1822">
        <v>3704303</v>
      </c>
      <c r="D1822">
        <v>20010</v>
      </c>
    </row>
    <row r="1823" spans="1:4" x14ac:dyDescent="0.25">
      <c r="A1823" t="str">
        <f>T("   320810")</f>
        <v xml:space="preserve">   320810</v>
      </c>
      <c r="B1823" t="str">
        <f>T("   PEINTURES ET VERNIS À BASE DE POLYESTERS, DISPERSÉS OU DISSOUS DANS UN MILIEU NON-AQUEUX, ET PRODUITS À BASE DE POLYESTERS EN SOLUTION DANS DES SOLVANTS ORGANIQUES VOLATILS, POUR AUTANT QUE LA PROPORTION DU SOLVANT &gt; 50% DU POIDS DE LA SOLUTION")</f>
        <v xml:space="preserve">   PEINTURES ET VERNIS À BASE DE POLYESTERS, DISPERSÉS OU DISSOUS DANS UN MILIEU NON-AQUEUX, ET PRODUITS À BASE DE POLYESTERS EN SOLUTION DANS DES SOLVANTS ORGANIQUES VOLATILS, POUR AUTANT QUE LA PROPORTION DU SOLVANT &gt; 50% DU POIDS DE LA SOLUTION</v>
      </c>
      <c r="C1823">
        <v>424686</v>
      </c>
      <c r="D1823">
        <v>4500</v>
      </c>
    </row>
    <row r="1824" spans="1:4" x14ac:dyDescent="0.25">
      <c r="A1824" t="str">
        <f>T("   320890")</f>
        <v xml:space="preserve">   320890</v>
      </c>
      <c r="B1824" t="s">
        <v>96</v>
      </c>
      <c r="C1824">
        <v>2386904</v>
      </c>
      <c r="D1824">
        <v>6805</v>
      </c>
    </row>
    <row r="1825" spans="1:4" x14ac:dyDescent="0.25">
      <c r="A1825" t="str">
        <f>T("   320910")</f>
        <v xml:space="preserve">   320910</v>
      </c>
      <c r="B1825" t="str">
        <f>T("   Peintures et vernis à base de polymères acryliques ou vinyliques, dispersés ou dissous dans un milieu aqueux")</f>
        <v xml:space="preserve">   Peintures et vernis à base de polymères acryliques ou vinyliques, dispersés ou dissous dans un milieu aqueux</v>
      </c>
      <c r="C1825">
        <v>400000</v>
      </c>
      <c r="D1825">
        <v>4100</v>
      </c>
    </row>
    <row r="1826" spans="1:4" x14ac:dyDescent="0.25">
      <c r="A1826" t="str">
        <f>T("   320990")</f>
        <v xml:space="preserve">   320990</v>
      </c>
      <c r="B1826" t="str">
        <f>T("   Peintures et vernis à base de polymères synthétiques ou de polymères naturels modifiés, dispersés ou dissous dans un milieu aqueux (à l'excl. des produits à base de polymères acryliques ou vinyliques)")</f>
        <v xml:space="preserve">   Peintures et vernis à base de polymères synthétiques ou de polymères naturels modifiés, dispersés ou dissous dans un milieu aqueux (à l'excl. des produits à base de polymères acryliques ou vinyliques)</v>
      </c>
      <c r="C1826">
        <v>2370404</v>
      </c>
      <c r="D1826">
        <v>9102</v>
      </c>
    </row>
    <row r="1827" spans="1:4" x14ac:dyDescent="0.25">
      <c r="A1827" t="str">
        <f>T("   321000")</f>
        <v xml:space="preserve">   321000</v>
      </c>
      <c r="B1827" t="str">
        <f>T("   Peintures et vernis (à l'excl. des produits à base de polymères synthétiques ou de polymères naturels modifiés); pigments à l'eau préparés des types utilisés pour le finissage des cuirs")</f>
        <v xml:space="preserve">   Peintures et vernis (à l'excl. des produits à base de polymères synthétiques ou de polymères naturels modifiés); pigments à l'eau préparés des types utilisés pour le finissage des cuirs</v>
      </c>
      <c r="C1827">
        <v>2521860</v>
      </c>
      <c r="D1827">
        <v>6525</v>
      </c>
    </row>
    <row r="1828" spans="1:4" x14ac:dyDescent="0.25">
      <c r="A1828" t="str">
        <f>T("   321410")</f>
        <v xml:space="preserve">   321410</v>
      </c>
      <c r="B1828" t="str">
        <f>T("   Mastic de vitrier, ciments de résine et autres mastics; enduits utilisés en peinture")</f>
        <v xml:space="preserve">   Mastic de vitrier, ciments de résine et autres mastics; enduits utilisés en peinture</v>
      </c>
      <c r="C1828">
        <v>4260837</v>
      </c>
      <c r="D1828">
        <v>8376</v>
      </c>
    </row>
    <row r="1829" spans="1:4" x14ac:dyDescent="0.25">
      <c r="A1829" t="str">
        <f>T("   321519")</f>
        <v xml:space="preserve">   321519</v>
      </c>
      <c r="B1829" t="str">
        <f>T("   Encres d'imprimerie, même concentrées ou sous formes solides (à l'excl. des encres noires)")</f>
        <v xml:space="preserve">   Encres d'imprimerie, même concentrées ou sous formes solides (à l'excl. des encres noires)</v>
      </c>
      <c r="C1829">
        <v>544447</v>
      </c>
      <c r="D1829">
        <v>860</v>
      </c>
    </row>
    <row r="1830" spans="1:4" x14ac:dyDescent="0.25">
      <c r="A1830" t="str">
        <f>T("   321590")</f>
        <v xml:space="preserve">   321590</v>
      </c>
      <c r="B1830" t="str">
        <f>T("   Encres à écrire et à dessiner, même concentrées ou sous formes solides")</f>
        <v xml:space="preserve">   Encres à écrire et à dessiner, même concentrées ou sous formes solides</v>
      </c>
      <c r="C1830">
        <v>9398564</v>
      </c>
      <c r="D1830">
        <v>14829</v>
      </c>
    </row>
    <row r="1831" spans="1:4" x14ac:dyDescent="0.25">
      <c r="A1831" t="str">
        <f>T("   330210")</f>
        <v xml:space="preserve">   330210</v>
      </c>
      <c r="B1831" t="str">
        <f>T("   Mélanges de substances odoriférantes et mélanges, y.c. les solutions alcooliques, à base d'une ou de plusieurs de ces substances, des types utilisés comme matières de base pour les industries des produits alimentaires et des boissons")</f>
        <v xml:space="preserve">   Mélanges de substances odoriférantes et mélanges, y.c. les solutions alcooliques, à base d'une ou de plusieurs de ces substances, des types utilisés comme matières de base pour les industries des produits alimentaires et des boissons</v>
      </c>
      <c r="C1831">
        <v>3052200</v>
      </c>
      <c r="D1831">
        <v>1110</v>
      </c>
    </row>
    <row r="1832" spans="1:4" x14ac:dyDescent="0.25">
      <c r="A1832" t="str">
        <f>T("   330290")</f>
        <v xml:space="preserve">   330290</v>
      </c>
      <c r="B1832" t="s">
        <v>99</v>
      </c>
      <c r="C1832">
        <v>2423097</v>
      </c>
      <c r="D1832">
        <v>7600</v>
      </c>
    </row>
    <row r="1833" spans="1:4" x14ac:dyDescent="0.25">
      <c r="A1833" t="str">
        <f>T("   330300")</f>
        <v xml:space="preserve">   330300</v>
      </c>
      <c r="B1833" t="str">
        <f>T("   Parfums et eaux de toilette (à l'excl. des préparations pour l'après-rasage [lotions after-shave] et des désodorisants corporels)")</f>
        <v xml:space="preserve">   Parfums et eaux de toilette (à l'excl. des préparations pour l'après-rasage [lotions after-shave] et des désodorisants corporels)</v>
      </c>
      <c r="C1833">
        <v>29564671</v>
      </c>
      <c r="D1833">
        <v>143884</v>
      </c>
    </row>
    <row r="1834" spans="1:4" x14ac:dyDescent="0.25">
      <c r="A1834" t="str">
        <f>T("   330420")</f>
        <v xml:space="preserve">   330420</v>
      </c>
      <c r="B1834" t="str">
        <f>T("   Produits de maquillage pour les yeux")</f>
        <v xml:space="preserve">   Produits de maquillage pour les yeux</v>
      </c>
      <c r="C1834">
        <v>263170</v>
      </c>
      <c r="D1834">
        <v>506</v>
      </c>
    </row>
    <row r="1835" spans="1:4" x14ac:dyDescent="0.25">
      <c r="A1835" t="str">
        <f>T("   330491")</f>
        <v xml:space="preserve">   330491</v>
      </c>
      <c r="B1835" t="str">
        <f>T("   Poudres pour le maquillage ou l'entretien ou les soins de la peau, y.c. les poudres pour bébés et les poudres compactes (à l'excl. des médicaments)")</f>
        <v xml:space="preserve">   Poudres pour le maquillage ou l'entretien ou les soins de la peau, y.c. les poudres pour bébés et les poudres compactes (à l'excl. des médicaments)</v>
      </c>
      <c r="C1835">
        <v>730232</v>
      </c>
      <c r="D1835">
        <v>2052</v>
      </c>
    </row>
    <row r="1836" spans="1:4" x14ac:dyDescent="0.25">
      <c r="A1836" t="str">
        <f>T("   330499")</f>
        <v xml:space="preserve">   330499</v>
      </c>
      <c r="B1836" t="s">
        <v>100</v>
      </c>
      <c r="C1836">
        <v>401477857</v>
      </c>
      <c r="D1836">
        <v>1808090</v>
      </c>
    </row>
    <row r="1837" spans="1:4" x14ac:dyDescent="0.25">
      <c r="A1837" t="str">
        <f>T("   330510")</f>
        <v xml:space="preserve">   330510</v>
      </c>
      <c r="B1837" t="str">
        <f>T("   Shampooings")</f>
        <v xml:space="preserve">   Shampooings</v>
      </c>
      <c r="C1837">
        <v>8905680</v>
      </c>
      <c r="D1837">
        <v>9709</v>
      </c>
    </row>
    <row r="1838" spans="1:4" x14ac:dyDescent="0.25">
      <c r="A1838" t="str">
        <f>T("   330520")</f>
        <v xml:space="preserve">   330520</v>
      </c>
      <c r="B1838" t="str">
        <f>T("   Préparations pour l'ondulation ou le défrisage permanents")</f>
        <v xml:space="preserve">   Préparations pour l'ondulation ou le défrisage permanents</v>
      </c>
      <c r="C1838">
        <v>3500000</v>
      </c>
      <c r="D1838">
        <v>19340</v>
      </c>
    </row>
    <row r="1839" spans="1:4" x14ac:dyDescent="0.25">
      <c r="A1839" t="str">
        <f>T("   330530")</f>
        <v xml:space="preserve">   330530</v>
      </c>
      <c r="B1839" t="str">
        <f>T("   Laques pour cheveux")</f>
        <v xml:space="preserve">   Laques pour cheveux</v>
      </c>
      <c r="C1839">
        <v>1362218</v>
      </c>
      <c r="D1839">
        <v>4645</v>
      </c>
    </row>
    <row r="1840" spans="1:4" x14ac:dyDescent="0.25">
      <c r="A1840" t="str">
        <f>T("   330590")</f>
        <v xml:space="preserve">   330590</v>
      </c>
      <c r="B1840" t="str">
        <f>T("   PRÉPARATIONS CAPILLAIRES (À L'EXCL. DES SHAMPOOINGS, DES LAQUES POUR CHEVEUX ET DES PRÉPARATIONS POUR L'ONDULATION OU LE DÉFRISAGE PERMANENTS)")</f>
        <v xml:space="preserve">   PRÉPARATIONS CAPILLAIRES (À L'EXCL. DES SHAMPOOINGS, DES LAQUES POUR CHEVEUX ET DES PRÉPARATIONS POUR L'ONDULATION OU LE DÉFRISAGE PERMANENTS)</v>
      </c>
      <c r="C1840">
        <v>3375632</v>
      </c>
      <c r="D1840">
        <v>10178</v>
      </c>
    </row>
    <row r="1841" spans="1:4" x14ac:dyDescent="0.25">
      <c r="A1841" t="str">
        <f>T("   330610")</f>
        <v xml:space="preserve">   330610</v>
      </c>
      <c r="B1841" t="str">
        <f>T("   Dentifrices, préparés, même des types utilisés par les dentistes")</f>
        <v xml:space="preserve">   Dentifrices, préparés, même des types utilisés par les dentistes</v>
      </c>
      <c r="C1841">
        <v>137459941</v>
      </c>
      <c r="D1841">
        <v>498820.19</v>
      </c>
    </row>
    <row r="1842" spans="1:4" x14ac:dyDescent="0.25">
      <c r="A1842" t="str">
        <f>T("   330690")</f>
        <v xml:space="preserve">   330690</v>
      </c>
      <c r="B1842" t="str">
        <f>T("   Préparations pour l'hygiène buccale ou dentaire, y.c. les poudres et crèmes pour faciliter l'adhérence des dentiers (à l'excl. des dentifrices et des fils utilisés pour nettoyer les espaces interdentaires [fils dentaires])")</f>
        <v xml:space="preserve">   Préparations pour l'hygiène buccale ou dentaire, y.c. les poudres et crèmes pour faciliter l'adhérence des dentiers (à l'excl. des dentifrices et des fils utilisés pour nettoyer les espaces interdentaires [fils dentaires])</v>
      </c>
      <c r="C1842">
        <v>850000</v>
      </c>
      <c r="D1842">
        <v>7610</v>
      </c>
    </row>
    <row r="1843" spans="1:4" x14ac:dyDescent="0.25">
      <c r="A1843" t="str">
        <f>T("   330720")</f>
        <v xml:space="preserve">   330720</v>
      </c>
      <c r="B1843" t="str">
        <f>T("   Désodorisants corporels et antisudoraux, préparés")</f>
        <v xml:space="preserve">   Désodorisants corporels et antisudoraux, préparés</v>
      </c>
      <c r="C1843">
        <v>3594698</v>
      </c>
      <c r="D1843">
        <v>17221</v>
      </c>
    </row>
    <row r="1844" spans="1:4" x14ac:dyDescent="0.25">
      <c r="A1844" t="str">
        <f>T("   330749")</f>
        <v xml:space="preserve">   330749</v>
      </c>
      <c r="B1844" t="str">
        <f>T("   Préparations pour parfumer ou pour désodoriser les locaux, y.c. les préparations odoriférantes pour cérémonies religieuses (à l'excl. de l'agarbatti et des autres préparations odoriférantes agissant par combustion)")</f>
        <v xml:space="preserve">   Préparations pour parfumer ou pour désodoriser les locaux, y.c. les préparations odoriférantes pour cérémonies religieuses (à l'excl. de l'agarbatti et des autres préparations odoriférantes agissant par combustion)</v>
      </c>
      <c r="C1844">
        <v>49476729</v>
      </c>
      <c r="D1844">
        <v>191833</v>
      </c>
    </row>
    <row r="1845" spans="1:4" x14ac:dyDescent="0.25">
      <c r="A1845" t="str">
        <f>T("   330790")</f>
        <v xml:space="preserve">   330790</v>
      </c>
      <c r="B1845" t="str">
        <f>T("   Dépilatoires, autres produits de parfumerie ou de toilette préparés et autres préparations cosmétiques, n.d.a.")</f>
        <v xml:space="preserve">   Dépilatoires, autres produits de parfumerie ou de toilette préparés et autres préparations cosmétiques, n.d.a.</v>
      </c>
      <c r="C1845">
        <v>2195098</v>
      </c>
      <c r="D1845">
        <v>5384</v>
      </c>
    </row>
    <row r="1846" spans="1:4" x14ac:dyDescent="0.25">
      <c r="A1846" t="str">
        <f>T("   340111")</f>
        <v xml:space="preserve">   340111</v>
      </c>
      <c r="B1846" t="s">
        <v>101</v>
      </c>
      <c r="C1846">
        <v>499179080</v>
      </c>
      <c r="D1846">
        <v>1303480.2</v>
      </c>
    </row>
    <row r="1847" spans="1:4" x14ac:dyDescent="0.25">
      <c r="A1847" t="str">
        <f>T("   340119")</f>
        <v xml:space="preserve">   340119</v>
      </c>
      <c r="B1847" t="s">
        <v>102</v>
      </c>
      <c r="C1847">
        <v>596624590</v>
      </c>
      <c r="D1847">
        <v>2747772</v>
      </c>
    </row>
    <row r="1848" spans="1:4" x14ac:dyDescent="0.25">
      <c r="A1848" t="str">
        <f>T("   340120")</f>
        <v xml:space="preserve">   340120</v>
      </c>
      <c r="B1848" t="str">
        <f>T("   Savons en flocons, en paillettes, en granulés ou en poudres et savons liquides ou pâteux")</f>
        <v xml:space="preserve">   Savons en flocons, en paillettes, en granulés ou en poudres et savons liquides ou pâteux</v>
      </c>
      <c r="C1848">
        <v>143970339</v>
      </c>
      <c r="D1848">
        <v>536001</v>
      </c>
    </row>
    <row r="1849" spans="1:4" x14ac:dyDescent="0.25">
      <c r="A1849" t="str">
        <f>T("   340213")</f>
        <v xml:space="preserve">   340213</v>
      </c>
      <c r="B1849" t="str">
        <f>T("   Agents de surface organiques, non ioniques, même conditionnés pour la vente au détail (à l'excl. des savons)")</f>
        <v xml:space="preserve">   Agents de surface organiques, non ioniques, même conditionnés pour la vente au détail (à l'excl. des savons)</v>
      </c>
      <c r="C1849">
        <v>473401</v>
      </c>
      <c r="D1849">
        <v>200</v>
      </c>
    </row>
    <row r="1850" spans="1:4" x14ac:dyDescent="0.25">
      <c r="A1850" t="str">
        <f>T("   340220")</f>
        <v xml:space="preserve">   340220</v>
      </c>
      <c r="B1850" t="s">
        <v>103</v>
      </c>
      <c r="C1850">
        <v>881428653</v>
      </c>
      <c r="D1850">
        <v>4374304</v>
      </c>
    </row>
    <row r="1851" spans="1:4" x14ac:dyDescent="0.25">
      <c r="A1851" t="str">
        <f>T("   340290")</f>
        <v xml:space="preserve">   340290</v>
      </c>
      <c r="B1851" t="s">
        <v>104</v>
      </c>
      <c r="C1851">
        <v>20225447</v>
      </c>
      <c r="D1851">
        <v>79761</v>
      </c>
    </row>
    <row r="1852" spans="1:4" x14ac:dyDescent="0.25">
      <c r="A1852" t="str">
        <f>T("   340420")</f>
        <v xml:space="preserve">   340420</v>
      </c>
      <c r="B1852" t="str">
        <f>T("   CIRES DE POLY'OXYÉTHYLÈNE' [POLYÉTHYLÈNE-GLYCOL]")</f>
        <v xml:space="preserve">   CIRES DE POLY'OXYÉTHYLÈNE' [POLYÉTHYLÈNE-GLYCOL]</v>
      </c>
      <c r="C1852">
        <v>12484671</v>
      </c>
      <c r="D1852">
        <v>35955</v>
      </c>
    </row>
    <row r="1853" spans="1:4" x14ac:dyDescent="0.25">
      <c r="A1853" t="str">
        <f>T("   340510")</f>
        <v xml:space="preserve">   340510</v>
      </c>
      <c r="B1853" t="s">
        <v>108</v>
      </c>
      <c r="C1853">
        <v>2780863</v>
      </c>
      <c r="D1853">
        <v>13950</v>
      </c>
    </row>
    <row r="1854" spans="1:4" x14ac:dyDescent="0.25">
      <c r="A1854" t="str">
        <f>T("   340600")</f>
        <v xml:space="preserve">   340600</v>
      </c>
      <c r="B1854" t="str">
        <f>T("   Bougies, chandelles, cierges et articles simil.")</f>
        <v xml:space="preserve">   Bougies, chandelles, cierges et articles simil.</v>
      </c>
      <c r="C1854">
        <v>60268422</v>
      </c>
      <c r="D1854">
        <v>275007</v>
      </c>
    </row>
    <row r="1855" spans="1:4" x14ac:dyDescent="0.25">
      <c r="A1855" t="str">
        <f>T("   350510")</f>
        <v xml:space="preserve">   350510</v>
      </c>
      <c r="B1855" t="str">
        <f>T("   DEXTRINE ET AUTRES AMIDONS ET FÉCULES MODIFIÉS [LES AMIDONS ET FÉCULES PRÉ-GÉLATINISÉS OU ESTÉRIFIÉS, P.EX.]")</f>
        <v xml:space="preserve">   DEXTRINE ET AUTRES AMIDONS ET FÉCULES MODIFIÉS [LES AMIDONS ET FÉCULES PRÉ-GÉLATINISÉS OU ESTÉRIFIÉS, P.EX.]</v>
      </c>
      <c r="C1855">
        <v>139677309</v>
      </c>
      <c r="D1855">
        <v>187524</v>
      </c>
    </row>
    <row r="1856" spans="1:4" x14ac:dyDescent="0.25">
      <c r="A1856" t="str">
        <f>T("   350520")</f>
        <v xml:space="preserve">   350520</v>
      </c>
      <c r="B1856" t="str">
        <f>T("   Colles à base d'amidons ou de fécules, de dextrine ou d'autres amidons ou fécules modifiés (à l'excl. des produits conditionnés pour la vente au détail comme colles et d'un poids net &lt;= 1 kg)")</f>
        <v xml:space="preserve">   Colles à base d'amidons ou de fécules, de dextrine ou d'autres amidons ou fécules modifiés (à l'excl. des produits conditionnés pour la vente au détail comme colles et d'un poids net &lt;= 1 kg)</v>
      </c>
      <c r="C1856">
        <v>11055953</v>
      </c>
      <c r="D1856">
        <v>42960</v>
      </c>
    </row>
    <row r="1857" spans="1:4" x14ac:dyDescent="0.25">
      <c r="A1857" t="str">
        <f>T("   350610")</f>
        <v xml:space="preserve">   350610</v>
      </c>
      <c r="B1857" t="str">
        <f>T("   Produits de toute espèce à usage de colles ou d'adhésifs, conditionnés pour la vente au détail comme colles ou adhésifs, d'un poids net &lt;= 1 kg")</f>
        <v xml:space="preserve">   Produits de toute espèce à usage de colles ou d'adhésifs, conditionnés pour la vente au détail comme colles ou adhésifs, d'un poids net &lt;= 1 kg</v>
      </c>
      <c r="C1857">
        <v>9069864</v>
      </c>
      <c r="D1857">
        <v>54702</v>
      </c>
    </row>
    <row r="1858" spans="1:4" x14ac:dyDescent="0.25">
      <c r="A1858" t="str">
        <f>T("   350691")</f>
        <v xml:space="preserve">   350691</v>
      </c>
      <c r="B1858" t="str">
        <f>T("   Adhésifs à base de polymères du n° 3901 à 3913 ou de caoutchouc (à l'excl. des produits conditionnés pour la vente au détail comme colles ou adhésifs, d'un poids net &lt;= 1 kg)")</f>
        <v xml:space="preserve">   Adhésifs à base de polymères du n° 3901 à 3913 ou de caoutchouc (à l'excl. des produits conditionnés pour la vente au détail comme colles ou adhésifs, d'un poids net &lt;= 1 kg)</v>
      </c>
      <c r="C1858">
        <v>22625</v>
      </c>
      <c r="D1858">
        <v>50</v>
      </c>
    </row>
    <row r="1859" spans="1:4" x14ac:dyDescent="0.25">
      <c r="A1859" t="str">
        <f>T("   350699")</f>
        <v xml:space="preserve">   350699</v>
      </c>
      <c r="B1859" t="str">
        <f>T("   Colles et autres adhésifs préparés, n.d.a.")</f>
        <v xml:space="preserve">   Colles et autres adhésifs préparés, n.d.a.</v>
      </c>
      <c r="C1859">
        <v>6047152</v>
      </c>
      <c r="D1859">
        <v>13155</v>
      </c>
    </row>
    <row r="1860" spans="1:4" x14ac:dyDescent="0.25">
      <c r="A1860" t="str">
        <f>T("   350790")</f>
        <v xml:space="preserve">   350790</v>
      </c>
      <c r="B1860" t="str">
        <f>T("   Enzymes et enzymes préparées, n.d.a. (à l'excl. de la présure et de ses concentrats)")</f>
        <v xml:space="preserve">   Enzymes et enzymes préparées, n.d.a. (à l'excl. de la présure et de ses concentrats)</v>
      </c>
      <c r="C1860">
        <v>16576326</v>
      </c>
      <c r="D1860">
        <v>27298</v>
      </c>
    </row>
    <row r="1861" spans="1:4" x14ac:dyDescent="0.25">
      <c r="A1861" t="str">
        <f>T("   360500")</f>
        <v xml:space="preserve">   360500</v>
      </c>
      <c r="B1861" t="str">
        <f>T("   Allumettes (autres que les articles de pyrotechnie du n° 3604)")</f>
        <v xml:space="preserve">   Allumettes (autres que les articles de pyrotechnie du n° 3604)</v>
      </c>
      <c r="C1861">
        <v>63746552</v>
      </c>
      <c r="D1861">
        <v>134269</v>
      </c>
    </row>
    <row r="1862" spans="1:4" x14ac:dyDescent="0.25">
      <c r="A1862" t="str">
        <f>T("   360690")</f>
        <v xml:space="preserve">   360690</v>
      </c>
      <c r="B1862" t="s">
        <v>111</v>
      </c>
      <c r="C1862">
        <v>176401</v>
      </c>
      <c r="D1862">
        <v>123</v>
      </c>
    </row>
    <row r="1863" spans="1:4" x14ac:dyDescent="0.25">
      <c r="A1863" t="str">
        <f>T("   370110")</f>
        <v xml:space="preserve">   370110</v>
      </c>
      <c r="B1863" t="str">
        <f>T("   PLAQUES ET FILMS PLANS, PHOTOGRAPHIQUES, SENSIBILISÉS, NON-IMPRESSIONNÉS, POUR RAYONS X (SAUF EN PAPIER, EN CARTON OU EN MATIÈRES TEXTILES)")</f>
        <v xml:space="preserve">   PLAQUES ET FILMS PLANS, PHOTOGRAPHIQUES, SENSIBILISÉS, NON-IMPRESSIONNÉS, POUR RAYONS X (SAUF EN PAPIER, EN CARTON OU EN MATIÈRES TEXTILES)</v>
      </c>
      <c r="C1863">
        <v>2664280</v>
      </c>
      <c r="D1863">
        <v>7000</v>
      </c>
    </row>
    <row r="1864" spans="1:4" x14ac:dyDescent="0.25">
      <c r="A1864" t="str">
        <f>T("   370390")</f>
        <v xml:space="preserve">   370390</v>
      </c>
      <c r="B1864" t="str">
        <f>T("   PAPIERS, CARTONS ET TEXTILES, PHOTOGRAPHIQUES, SENSIBILISÉS, NON-IMPRESSIONNÉS, POUR LA PHOTOGRAPHIE EN MONOCHROME (À L'EXCL. DES PRODUITS EN ROULEAUX D'UNE LARGEUR &gt; 610 MM)")</f>
        <v xml:space="preserve">   PAPIERS, CARTONS ET TEXTILES, PHOTOGRAPHIQUES, SENSIBILISÉS, NON-IMPRESSIONNÉS, POUR LA PHOTOGRAPHIE EN MONOCHROME (À L'EXCL. DES PRODUITS EN ROULEAUX D'UNE LARGEUR &gt; 610 MM)</v>
      </c>
      <c r="C1864">
        <v>735323</v>
      </c>
      <c r="D1864">
        <v>995</v>
      </c>
    </row>
    <row r="1865" spans="1:4" x14ac:dyDescent="0.25">
      <c r="A1865" t="str">
        <f>T("   370400")</f>
        <v xml:space="preserve">   370400</v>
      </c>
      <c r="B1865" t="str">
        <f>T("   PLAQUES, PELLICULES, FILMS, PAPIERS, CARTONS ET TEXTILES, PHOTOGRAPHIQUES, IMPRESSIONNÉS MAIS NON-DÉVELOPPÉS")</f>
        <v xml:space="preserve">   PLAQUES, PELLICULES, FILMS, PAPIERS, CARTONS ET TEXTILES, PHOTOGRAPHIQUES, IMPRESSIONNÉS MAIS NON-DÉVELOPPÉS</v>
      </c>
      <c r="C1865">
        <v>666667</v>
      </c>
      <c r="D1865">
        <v>1893</v>
      </c>
    </row>
    <row r="1866" spans="1:4" x14ac:dyDescent="0.25">
      <c r="A1866" t="str">
        <f>T("   380590")</f>
        <v xml:space="preserve">   380590</v>
      </c>
      <c r="B1866" t="s">
        <v>118</v>
      </c>
      <c r="C1866">
        <v>1242677</v>
      </c>
      <c r="D1866">
        <v>1050</v>
      </c>
    </row>
    <row r="1867" spans="1:4" x14ac:dyDescent="0.25">
      <c r="A1867" t="str">
        <f>T("   380690")</f>
        <v xml:space="preserve">   380690</v>
      </c>
      <c r="B1867" t="s">
        <v>119</v>
      </c>
      <c r="C1867">
        <v>32201682</v>
      </c>
      <c r="D1867">
        <v>16664</v>
      </c>
    </row>
    <row r="1868" spans="1:4" x14ac:dyDescent="0.25">
      <c r="A1868" t="str">
        <f>T("   380810")</f>
        <v xml:space="preserve">   380810</v>
      </c>
      <c r="B1868" t="str">
        <f>T("   Insecticides présentés dans des formes ou emballages de vente au détail ou à l'état de préparations ou sous forme d'articles")</f>
        <v xml:space="preserve">   Insecticides présentés dans des formes ou emballages de vente au détail ou à l'état de préparations ou sous forme d'articles</v>
      </c>
      <c r="C1868">
        <v>934569141</v>
      </c>
      <c r="D1868">
        <v>2725811</v>
      </c>
    </row>
    <row r="1869" spans="1:4" x14ac:dyDescent="0.25">
      <c r="A1869" t="str">
        <f>T("   380840")</f>
        <v xml:space="preserve">   380840</v>
      </c>
      <c r="B1869" t="str">
        <f>T("   Désinfectants et produits simil., présentés dans des formes ou emballages de vente au détail ou à l'état de préparations ou sous forme d'articles")</f>
        <v xml:space="preserve">   Désinfectants et produits simil., présentés dans des formes ou emballages de vente au détail ou à l'état de préparations ou sous forme d'articles</v>
      </c>
      <c r="C1869">
        <v>1244219</v>
      </c>
      <c r="D1869">
        <v>864</v>
      </c>
    </row>
    <row r="1870" spans="1:4" x14ac:dyDescent="0.25">
      <c r="A1870" t="str">
        <f>T("   380890")</f>
        <v xml:space="preserve">   380890</v>
      </c>
      <c r="B1870" t="str">
        <f>T("   Antirongeurs et autres produits phytosanitaires, présentés dans des formes ou emballages de vente au détail ou à l'état de préparations ou sous forme d'articles (à l'excl. des insecticides, des fongicides, des herbicides et des désinfectants)")</f>
        <v xml:space="preserve">   Antirongeurs et autres produits phytosanitaires, présentés dans des formes ou emballages de vente au détail ou à l'état de préparations ou sous forme d'articles (à l'excl. des insecticides, des fongicides, des herbicides et des désinfectants)</v>
      </c>
      <c r="C1870">
        <v>213761360</v>
      </c>
      <c r="D1870">
        <v>543981</v>
      </c>
    </row>
    <row r="1871" spans="1:4" x14ac:dyDescent="0.25">
      <c r="A1871" t="str">
        <f>T("   381090")</f>
        <v xml:space="preserve">   381090</v>
      </c>
      <c r="B1871" t="s">
        <v>122</v>
      </c>
      <c r="C1871">
        <v>4266215</v>
      </c>
      <c r="D1871">
        <v>15506</v>
      </c>
    </row>
    <row r="1872" spans="1:4" x14ac:dyDescent="0.25">
      <c r="A1872" t="str">
        <f>T("   381400")</f>
        <v xml:space="preserve">   381400</v>
      </c>
      <c r="B1872" t="str">
        <f>T("   Solvants et diluants organiques composites, n.d.a.; préparations conçues pour enlever les peintures ou les vernis (à l'excl. des dissolvants pour vernis à ongles)")</f>
        <v xml:space="preserve">   Solvants et diluants organiques composites, n.d.a.; préparations conçues pour enlever les peintures ou les vernis (à l'excl. des dissolvants pour vernis à ongles)</v>
      </c>
      <c r="C1872">
        <v>9125764</v>
      </c>
      <c r="D1872">
        <v>18310</v>
      </c>
    </row>
    <row r="1873" spans="1:4" x14ac:dyDescent="0.25">
      <c r="A1873" t="str">
        <f>T("   382200")</f>
        <v xml:space="preserve">   382200</v>
      </c>
      <c r="B1873" t="s">
        <v>125</v>
      </c>
      <c r="C1873">
        <v>5443918</v>
      </c>
      <c r="D1873">
        <v>339</v>
      </c>
    </row>
    <row r="1874" spans="1:4" x14ac:dyDescent="0.25">
      <c r="A1874" t="str">
        <f>T("   382490")</f>
        <v xml:space="preserve">   382490</v>
      </c>
      <c r="B1874" t="str">
        <f>T("   Produits chimiques et préparations des industries chimiques ou des industries connexes, y.c. celles consistant en mélanges de produits naturels, n.d.a.")</f>
        <v xml:space="preserve">   Produits chimiques et préparations des industries chimiques ou des industries connexes, y.c. celles consistant en mélanges de produits naturels, n.d.a.</v>
      </c>
      <c r="C1874">
        <v>1795252</v>
      </c>
      <c r="D1874">
        <v>1204</v>
      </c>
    </row>
    <row r="1875" spans="1:4" x14ac:dyDescent="0.25">
      <c r="A1875" t="str">
        <f>T("   390530")</f>
        <v xml:space="preserve">   390530</v>
      </c>
      <c r="B1875" t="str">
        <f>T("   Poly[alcool vinylique], même contenant des groupes acétate non hydrolysés, sous formes primaires")</f>
        <v xml:space="preserve">   Poly[alcool vinylique], même contenant des groupes acétate non hydrolysés, sous formes primaires</v>
      </c>
      <c r="C1875">
        <v>10203938</v>
      </c>
      <c r="D1875">
        <v>10000</v>
      </c>
    </row>
    <row r="1876" spans="1:4" x14ac:dyDescent="0.25">
      <c r="A1876" t="str">
        <f>T("   390690")</f>
        <v xml:space="preserve">   390690</v>
      </c>
      <c r="B1876" t="str">
        <f>T("   Polymères acryliques, sous formes primaires (à l'excl. du poly[méthacrylate de méthyle])")</f>
        <v xml:space="preserve">   Polymères acryliques, sous formes primaires (à l'excl. du poly[méthacrylate de méthyle])</v>
      </c>
      <c r="C1876">
        <v>1720199</v>
      </c>
      <c r="D1876">
        <v>1400</v>
      </c>
    </row>
    <row r="1877" spans="1:4" x14ac:dyDescent="0.25">
      <c r="A1877" t="str">
        <f>T("   390720")</f>
        <v xml:space="preserve">   390720</v>
      </c>
      <c r="B1877" t="str">
        <f>T("   Polyéthers, sous formes primaires (à l'excl. des polyacétals)")</f>
        <v xml:space="preserve">   Polyéthers, sous formes primaires (à l'excl. des polyacétals)</v>
      </c>
      <c r="C1877">
        <v>2696505</v>
      </c>
      <c r="D1877">
        <v>6005</v>
      </c>
    </row>
    <row r="1878" spans="1:4" x14ac:dyDescent="0.25">
      <c r="A1878" t="str">
        <f>T("   390890")</f>
        <v xml:space="preserve">   390890</v>
      </c>
      <c r="B1878" t="str">
        <f>T("   Polyamides, sous formes primaires (à l'excl. du polyamide-6, -11, -12, -6,6, -6,9, -6,10 ou -6,12)")</f>
        <v xml:space="preserve">   Polyamides, sous formes primaires (à l'excl. du polyamide-6, -11, -12, -6,6, -6,9, -6,10 ou -6,12)</v>
      </c>
      <c r="C1878">
        <v>1284596</v>
      </c>
      <c r="D1878">
        <v>5500</v>
      </c>
    </row>
    <row r="1879" spans="1:4" x14ac:dyDescent="0.25">
      <c r="A1879" t="str">
        <f>T("   391000")</f>
        <v xml:space="preserve">   391000</v>
      </c>
      <c r="B1879" t="str">
        <f>T("   Silicones sous formes primaires")</f>
        <v xml:space="preserve">   Silicones sous formes primaires</v>
      </c>
      <c r="C1879">
        <v>4622589</v>
      </c>
      <c r="D1879">
        <v>1205</v>
      </c>
    </row>
    <row r="1880" spans="1:4" x14ac:dyDescent="0.25">
      <c r="A1880" t="str">
        <f>T("   391110")</f>
        <v xml:space="preserve">   391110</v>
      </c>
      <c r="B1880" t="str">
        <f>T("   Résines de pétrole, résines de coumarone, résines d'indène, résines de coumarone-indène et polyterpènes, sous formes primaires")</f>
        <v xml:space="preserve">   Résines de pétrole, résines de coumarone, résines d'indène, résines de coumarone-indène et polyterpènes, sous formes primaires</v>
      </c>
      <c r="C1880">
        <v>15141820</v>
      </c>
      <c r="D1880">
        <v>14500</v>
      </c>
    </row>
    <row r="1881" spans="1:4" x14ac:dyDescent="0.25">
      <c r="A1881" t="str">
        <f>T("   391239")</f>
        <v xml:space="preserve">   391239</v>
      </c>
      <c r="B1881" t="str">
        <f>T("   ÉTHERS DE CELLULOSE, SOUS FORMES PRIMAIRES (À L'EXCL. DE LA CARBOXYMÉTHYLCELLULOSE ET DE SES SELS)")</f>
        <v xml:space="preserve">   ÉTHERS DE CELLULOSE, SOUS FORMES PRIMAIRES (À L'EXCL. DE LA CARBOXYMÉTHYLCELLULOSE ET DE SES SELS)</v>
      </c>
      <c r="C1881">
        <v>16467830</v>
      </c>
      <c r="D1881">
        <v>5040</v>
      </c>
    </row>
    <row r="1882" spans="1:4" x14ac:dyDescent="0.25">
      <c r="A1882" t="str">
        <f>T("   391721")</f>
        <v xml:space="preserve">   391721</v>
      </c>
      <c r="B1882" t="str">
        <f>T("   TUBES ET TUYAUX RIGIDES, EN POLYMÈRES DE L'ÉTHYLÈNE")</f>
        <v xml:space="preserve">   TUBES ET TUYAUX RIGIDES, EN POLYMÈRES DE L'ÉTHYLÈNE</v>
      </c>
      <c r="C1882">
        <v>11256252</v>
      </c>
      <c r="D1882">
        <v>42055</v>
      </c>
    </row>
    <row r="1883" spans="1:4" x14ac:dyDescent="0.25">
      <c r="A1883" t="str">
        <f>T("   391723")</f>
        <v xml:space="preserve">   391723</v>
      </c>
      <c r="B1883" t="str">
        <f>T("   TUBES ET TUYAUX RIGIDES, EN POLYMÈRES DU CHLORURE DE VINYLE")</f>
        <v xml:space="preserve">   TUBES ET TUYAUX RIGIDES, EN POLYMÈRES DU CHLORURE DE VINYLE</v>
      </c>
      <c r="C1883">
        <v>1802356</v>
      </c>
      <c r="D1883">
        <v>3238</v>
      </c>
    </row>
    <row r="1884" spans="1:4" x14ac:dyDescent="0.25">
      <c r="A1884" t="str">
        <f>T("   391729")</f>
        <v xml:space="preserve">   391729</v>
      </c>
      <c r="B1884" t="str">
        <f>T("   TUBES ET TUYAUX RIGIDES, EN MATIÈRES PLASTIQUES (À L'EXCL. DES TUBES ET TUYAUX EN POLYMÈRES DE L'ÉTHYLÈNE, DU PROPYLÈNE OU DU CHLORURE DE VINYLE)")</f>
        <v xml:space="preserve">   TUBES ET TUYAUX RIGIDES, EN MATIÈRES PLASTIQUES (À L'EXCL. DES TUBES ET TUYAUX EN POLYMÈRES DE L'ÉTHYLÈNE, DU PROPYLÈNE OU DU CHLORURE DE VINYLE)</v>
      </c>
      <c r="C1884">
        <v>6364832</v>
      </c>
      <c r="D1884">
        <v>21972</v>
      </c>
    </row>
    <row r="1885" spans="1:4" x14ac:dyDescent="0.25">
      <c r="A1885" t="str">
        <f>T("   391739")</f>
        <v xml:space="preserve">   391739</v>
      </c>
      <c r="B1885" t="str">
        <f>T("   TUBES ET TUYAUX SOUPLES, EN MATIÈRES PLASTIQUES, RENFORCÉS D'AUTRES MATIÈRES OU ASSOCIÉS À D'AUTRES MATIÈRES (À L'EXCL. DES PRODUITS POUVANT SUPPORTER UNE PRESSION &gt;= 27,6 MPA)")</f>
        <v xml:space="preserve">   TUBES ET TUYAUX SOUPLES, EN MATIÈRES PLASTIQUES, RENFORCÉS D'AUTRES MATIÈRES OU ASSOCIÉS À D'AUTRES MATIÈRES (À L'EXCL. DES PRODUITS POUVANT SUPPORTER UNE PRESSION &gt;= 27,6 MPA)</v>
      </c>
      <c r="C1885">
        <v>20605511</v>
      </c>
      <c r="D1885">
        <v>32887</v>
      </c>
    </row>
    <row r="1886" spans="1:4" x14ac:dyDescent="0.25">
      <c r="A1886" t="str">
        <f>T("   391740")</f>
        <v xml:space="preserve">   391740</v>
      </c>
      <c r="B1886" t="str">
        <f>T("   Accessoires pour tubes ou tuyaux [joints, coudes, raccords, par exemple], en matières plastiques")</f>
        <v xml:space="preserve">   Accessoires pour tubes ou tuyaux [joints, coudes, raccords, par exemple], en matières plastiques</v>
      </c>
      <c r="C1886">
        <v>52695510</v>
      </c>
      <c r="D1886">
        <v>100667</v>
      </c>
    </row>
    <row r="1887" spans="1:4" x14ac:dyDescent="0.25">
      <c r="A1887" t="str">
        <f>T("   391890")</f>
        <v xml:space="preserve">   391890</v>
      </c>
      <c r="B1887" t="s">
        <v>129</v>
      </c>
      <c r="C1887">
        <v>18629341</v>
      </c>
      <c r="D1887">
        <v>160167</v>
      </c>
    </row>
    <row r="1888" spans="1:4" x14ac:dyDescent="0.25">
      <c r="A1888" t="str">
        <f>T("   391910")</f>
        <v xml:space="preserve">   391910</v>
      </c>
      <c r="B1888" t="str">
        <f>T("   Feuilles, bandes, rubans, pellicules et autres formes plates, auto-adhésifs, en matières plastiques, en rouleaux d'une largeur &lt;= 20 cm")</f>
        <v xml:space="preserve">   Feuilles, bandes, rubans, pellicules et autres formes plates, auto-adhésifs, en matières plastiques, en rouleaux d'une largeur &lt;= 20 cm</v>
      </c>
      <c r="C1888">
        <v>9588846</v>
      </c>
      <c r="D1888">
        <v>28319.15</v>
      </c>
    </row>
    <row r="1889" spans="1:4" x14ac:dyDescent="0.25">
      <c r="A1889" t="str">
        <f>T("   391990")</f>
        <v xml:space="preserve">   391990</v>
      </c>
      <c r="B1889" t="s">
        <v>130</v>
      </c>
      <c r="C1889">
        <v>21408129</v>
      </c>
      <c r="D1889">
        <v>66490</v>
      </c>
    </row>
    <row r="1890" spans="1:4" x14ac:dyDescent="0.25">
      <c r="A1890" t="str">
        <f>T("   392020")</f>
        <v xml:space="preserve">   392020</v>
      </c>
      <c r="B1890" t="s">
        <v>132</v>
      </c>
      <c r="C1890">
        <v>6934756</v>
      </c>
      <c r="D1890">
        <v>5611</v>
      </c>
    </row>
    <row r="1891" spans="1:4" x14ac:dyDescent="0.25">
      <c r="A1891" t="str">
        <f>T("   392049")</f>
        <v xml:space="preserve">   392049</v>
      </c>
      <c r="B1891" t="s">
        <v>134</v>
      </c>
      <c r="C1891">
        <v>455382</v>
      </c>
      <c r="D1891">
        <v>4800</v>
      </c>
    </row>
    <row r="1892" spans="1:4" x14ac:dyDescent="0.25">
      <c r="A1892" t="str">
        <f>T("   392059")</f>
        <v xml:space="preserve">   392059</v>
      </c>
      <c r="B1892" t="s">
        <v>135</v>
      </c>
      <c r="C1892">
        <v>124795</v>
      </c>
      <c r="D1892">
        <v>1000</v>
      </c>
    </row>
    <row r="1893" spans="1:4" x14ac:dyDescent="0.25">
      <c r="A1893" t="str">
        <f>T("   392069")</f>
        <v xml:space="preserve">   392069</v>
      </c>
      <c r="B1893" t="s">
        <v>138</v>
      </c>
      <c r="C1893">
        <v>3152206</v>
      </c>
      <c r="D1893">
        <v>3365</v>
      </c>
    </row>
    <row r="1894" spans="1:4" x14ac:dyDescent="0.25">
      <c r="A1894" t="str">
        <f>T("   392099")</f>
        <v xml:space="preserve">   392099</v>
      </c>
      <c r="B1894" t="s">
        <v>139</v>
      </c>
      <c r="C1894">
        <v>10681588</v>
      </c>
      <c r="D1894">
        <v>25526</v>
      </c>
    </row>
    <row r="1895" spans="1:4" x14ac:dyDescent="0.25">
      <c r="A1895" t="str">
        <f>T("   392119")</f>
        <v xml:space="preserve">   392119</v>
      </c>
      <c r="B1895" t="s">
        <v>142</v>
      </c>
      <c r="C1895">
        <v>4621342</v>
      </c>
      <c r="D1895">
        <v>82927</v>
      </c>
    </row>
    <row r="1896" spans="1:4" x14ac:dyDescent="0.25">
      <c r="A1896" t="str">
        <f>T("   392210")</f>
        <v xml:space="preserve">   392210</v>
      </c>
      <c r="B1896" t="str">
        <f>T("   Baignoires, douches, éviers et lavabos, en matières plastiques")</f>
        <v xml:space="preserve">   Baignoires, douches, éviers et lavabos, en matières plastiques</v>
      </c>
      <c r="C1896">
        <v>28893258</v>
      </c>
      <c r="D1896">
        <v>31539</v>
      </c>
    </row>
    <row r="1897" spans="1:4" x14ac:dyDescent="0.25">
      <c r="A1897" t="str">
        <f>T("   392220")</f>
        <v xml:space="preserve">   392220</v>
      </c>
      <c r="B1897" t="str">
        <f>T("   Sièges et couvercles de cuvettes d'aisance, en matières plastiques")</f>
        <v xml:space="preserve">   Sièges et couvercles de cuvettes d'aisance, en matières plastiques</v>
      </c>
      <c r="C1897">
        <v>9720254</v>
      </c>
      <c r="D1897">
        <v>12461</v>
      </c>
    </row>
    <row r="1898" spans="1:4" x14ac:dyDescent="0.25">
      <c r="A1898" t="str">
        <f>T("   392290")</f>
        <v xml:space="preserve">   392290</v>
      </c>
      <c r="B1898" t="str">
        <f>T("   Bidets, cuvettes d'aisance, réservoirs de chasse et articles simil. pour usages sanitaires ou hygiéniques, en matières plastiques (à l'excl. des baignoires, des douches, d'éviers, des lavabos ainsi que des sièges et couvercles de cuvettes d'aisance)")</f>
        <v xml:space="preserve">   Bidets, cuvettes d'aisance, réservoirs de chasse et articles simil. pour usages sanitaires ou hygiéniques, en matières plastiques (à l'excl. des baignoires, des douches, d'éviers, des lavabos ainsi que des sièges et couvercles de cuvettes d'aisance)</v>
      </c>
      <c r="C1898">
        <v>12030712</v>
      </c>
      <c r="D1898">
        <v>19306</v>
      </c>
    </row>
    <row r="1899" spans="1:4" x14ac:dyDescent="0.25">
      <c r="A1899" t="str">
        <f>T("   392310")</f>
        <v xml:space="preserve">   392310</v>
      </c>
      <c r="B1899" t="str">
        <f>T("   Boîtes, caisses, casiers et articles simil. pour le transport ou l'emballage, en matières plastiques")</f>
        <v xml:space="preserve">   Boîtes, caisses, casiers et articles simil. pour le transport ou l'emballage, en matières plastiques</v>
      </c>
      <c r="C1899">
        <v>8011547</v>
      </c>
      <c r="D1899">
        <v>13317</v>
      </c>
    </row>
    <row r="1900" spans="1:4" x14ac:dyDescent="0.25">
      <c r="A1900" t="str">
        <f>T("   392321")</f>
        <v xml:space="preserve">   392321</v>
      </c>
      <c r="B1900" t="str">
        <f>T("   Sacs, sachets, pochettes et cornets, en polymères de l'éthylène")</f>
        <v xml:space="preserve">   Sacs, sachets, pochettes et cornets, en polymères de l'éthylène</v>
      </c>
      <c r="C1900">
        <v>7294221</v>
      </c>
      <c r="D1900">
        <v>13169</v>
      </c>
    </row>
    <row r="1901" spans="1:4" x14ac:dyDescent="0.25">
      <c r="A1901" t="str">
        <f>T("   392329")</f>
        <v xml:space="preserve">   392329</v>
      </c>
      <c r="B1901" t="str">
        <f>T("   Sacs, sachets, pochettes et cornets, en matières plastiques (autres que les polymères de l'éthylène)")</f>
        <v xml:space="preserve">   Sacs, sachets, pochettes et cornets, en matières plastiques (autres que les polymères de l'éthylène)</v>
      </c>
      <c r="C1901">
        <v>235511159</v>
      </c>
      <c r="D1901">
        <v>504782</v>
      </c>
    </row>
    <row r="1902" spans="1:4" x14ac:dyDescent="0.25">
      <c r="A1902" t="str">
        <f>T("   392330")</f>
        <v xml:space="preserve">   392330</v>
      </c>
      <c r="B1902" t="str">
        <f>T("   Bonbonnes, bouteilles, flacons et articles simil. pour le transport ou l'emballage, en matières plastiques")</f>
        <v xml:space="preserve">   Bonbonnes, bouteilles, flacons et articles simil. pour le transport ou l'emballage, en matières plastiques</v>
      </c>
      <c r="C1902">
        <v>9371572</v>
      </c>
      <c r="D1902">
        <v>10791</v>
      </c>
    </row>
    <row r="1903" spans="1:4" x14ac:dyDescent="0.25">
      <c r="A1903" t="str">
        <f>T("   392340")</f>
        <v xml:space="preserve">   392340</v>
      </c>
      <c r="B1903" t="str">
        <f>T("   Bobines, fusettes, canettes et supports simil., en matières plastiques")</f>
        <v xml:space="preserve">   Bobines, fusettes, canettes et supports simil., en matières plastiques</v>
      </c>
      <c r="C1903">
        <v>4971386</v>
      </c>
      <c r="D1903">
        <v>4820</v>
      </c>
    </row>
    <row r="1904" spans="1:4" x14ac:dyDescent="0.25">
      <c r="A1904" t="str">
        <f>T("   392350")</f>
        <v xml:space="preserve">   392350</v>
      </c>
      <c r="B1904" t="str">
        <f>T("   Bouchons, couvercles, capsules et autres dispositifs de fermeture, en matières plastiques")</f>
        <v xml:space="preserve">   Bouchons, couvercles, capsules et autres dispositifs de fermeture, en matières plastiques</v>
      </c>
      <c r="C1904">
        <v>1671330</v>
      </c>
      <c r="D1904">
        <v>8457</v>
      </c>
    </row>
    <row r="1905" spans="1:4" x14ac:dyDescent="0.25">
      <c r="A1905" t="str">
        <f>T("   392390")</f>
        <v xml:space="preserve">   392390</v>
      </c>
      <c r="B1905" t="s">
        <v>144</v>
      </c>
      <c r="C1905">
        <v>136278445</v>
      </c>
      <c r="D1905">
        <v>118158</v>
      </c>
    </row>
    <row r="1906" spans="1:4" x14ac:dyDescent="0.25">
      <c r="A1906" t="str">
        <f>T("   392410")</f>
        <v xml:space="preserve">   392410</v>
      </c>
      <c r="B1906" t="str">
        <f>T("   Vaisselle et autres articles pour le service de la table ou de la cuisine, en matières plastiques")</f>
        <v xml:space="preserve">   Vaisselle et autres articles pour le service de la table ou de la cuisine, en matières plastiques</v>
      </c>
      <c r="C1906">
        <v>1096799091</v>
      </c>
      <c r="D1906">
        <v>3505809</v>
      </c>
    </row>
    <row r="1907" spans="1:4" x14ac:dyDescent="0.25">
      <c r="A1907" t="str">
        <f>T("   392490")</f>
        <v xml:space="preserve">   392490</v>
      </c>
      <c r="B1907" t="s">
        <v>145</v>
      </c>
      <c r="C1907">
        <v>432808858</v>
      </c>
      <c r="D1907">
        <v>1426505</v>
      </c>
    </row>
    <row r="1908" spans="1:4" x14ac:dyDescent="0.25">
      <c r="A1908" t="str">
        <f>T("   392510")</f>
        <v xml:space="preserve">   392510</v>
      </c>
      <c r="B1908" t="str">
        <f>T("   Réservoirs, foudres, cuves et récipients analogues, en matières plastiques, d'une contenance &gt; 300 l")</f>
        <v xml:space="preserve">   Réservoirs, foudres, cuves et récipients analogues, en matières plastiques, d'une contenance &gt; 300 l</v>
      </c>
      <c r="C1908">
        <v>2011252</v>
      </c>
      <c r="D1908">
        <v>4211</v>
      </c>
    </row>
    <row r="1909" spans="1:4" x14ac:dyDescent="0.25">
      <c r="A1909" t="str">
        <f>T("   392520")</f>
        <v xml:space="preserve">   392520</v>
      </c>
      <c r="B1909" t="str">
        <f>T("   Portes, fenêtres et leurs cadres, chambranles et seuils, en matières plastiques")</f>
        <v xml:space="preserve">   Portes, fenêtres et leurs cadres, chambranles et seuils, en matières plastiques</v>
      </c>
      <c r="C1909">
        <v>12158621</v>
      </c>
      <c r="D1909">
        <v>22816</v>
      </c>
    </row>
    <row r="1910" spans="1:4" x14ac:dyDescent="0.25">
      <c r="A1910" t="str">
        <f>T("   392590")</f>
        <v xml:space="preserve">   392590</v>
      </c>
      <c r="B1910" t="s">
        <v>146</v>
      </c>
      <c r="C1910">
        <v>9661852</v>
      </c>
      <c r="D1910">
        <v>28200</v>
      </c>
    </row>
    <row r="1911" spans="1:4" x14ac:dyDescent="0.25">
      <c r="A1911" t="str">
        <f>T("   392610")</f>
        <v xml:space="preserve">   392610</v>
      </c>
      <c r="B1911" t="str">
        <f>T("   Articles de bureau et articles scolaires, en matières plastiques, n.d.a.")</f>
        <v xml:space="preserve">   Articles de bureau et articles scolaires, en matières plastiques, n.d.a.</v>
      </c>
      <c r="C1911">
        <v>57092535</v>
      </c>
      <c r="D1911">
        <v>94394</v>
      </c>
    </row>
    <row r="1912" spans="1:4" x14ac:dyDescent="0.25">
      <c r="A1912" t="str">
        <f>T("   392620")</f>
        <v xml:space="preserve">   392620</v>
      </c>
      <c r="B1912" t="str">
        <f>T("   Vêtements et accessoires du vêtement, y.c. les gants, mitaines et moufles, fabriqués par couture ou collage à partir de feuilles en matières plastiques")</f>
        <v xml:space="preserve">   Vêtements et accessoires du vêtement, y.c. les gants, mitaines et moufles, fabriqués par couture ou collage à partir de feuilles en matières plastiques</v>
      </c>
      <c r="C1912">
        <v>24706088</v>
      </c>
      <c r="D1912">
        <v>80667</v>
      </c>
    </row>
    <row r="1913" spans="1:4" x14ac:dyDescent="0.25">
      <c r="A1913" t="str">
        <f>T("   392630")</f>
        <v xml:space="preserve">   392630</v>
      </c>
      <c r="B1913" t="str">
        <f>T("   Garnitures pour meubles, carrosseries ou simil., en matières plastiques (à l'excl. des articles d'équipement pour la construction destinés à être fixés à demeure sur des parties de bâtiments)")</f>
        <v xml:space="preserve">   Garnitures pour meubles, carrosseries ou simil., en matières plastiques (à l'excl. des articles d'équipement pour la construction destinés à être fixés à demeure sur des parties de bâtiments)</v>
      </c>
      <c r="C1913">
        <v>1285567</v>
      </c>
      <c r="D1913">
        <v>5663</v>
      </c>
    </row>
    <row r="1914" spans="1:4" x14ac:dyDescent="0.25">
      <c r="A1914" t="str">
        <f>T("   392640")</f>
        <v xml:space="preserve">   392640</v>
      </c>
      <c r="B1914" t="str">
        <f>T("   Statuettes et autres objets d'ornementation, en matières plastiques")</f>
        <v xml:space="preserve">   Statuettes et autres objets d'ornementation, en matières plastiques</v>
      </c>
      <c r="C1914">
        <v>16099806</v>
      </c>
      <c r="D1914">
        <v>34398.730000000003</v>
      </c>
    </row>
    <row r="1915" spans="1:4" x14ac:dyDescent="0.25">
      <c r="A1915" t="str">
        <f>T("   392690")</f>
        <v xml:space="preserve">   392690</v>
      </c>
      <c r="B1915" t="str">
        <f>T("   Ouvrages en matières plastiques et ouvrages en autres matières du n° 3901 à 3914, n.d.a.")</f>
        <v xml:space="preserve">   Ouvrages en matières plastiques et ouvrages en autres matières du n° 3901 à 3914, n.d.a.</v>
      </c>
      <c r="C1915">
        <v>316815649</v>
      </c>
      <c r="D1915">
        <v>681531</v>
      </c>
    </row>
    <row r="1916" spans="1:4" x14ac:dyDescent="0.25">
      <c r="A1916" t="str">
        <f>T("   400700")</f>
        <v xml:space="preserve">   400700</v>
      </c>
      <c r="B1916" t="s">
        <v>152</v>
      </c>
      <c r="C1916">
        <v>3998743</v>
      </c>
      <c r="D1916">
        <v>15322</v>
      </c>
    </row>
    <row r="1917" spans="1:4" x14ac:dyDescent="0.25">
      <c r="A1917" t="str">
        <f>T("   400829")</f>
        <v xml:space="preserve">   400829</v>
      </c>
      <c r="B1917" t="str">
        <f>T("   Baguettes et profilés, en caoutchouc non alvéolaire non durci")</f>
        <v xml:space="preserve">   Baguettes et profilés, en caoutchouc non alvéolaire non durci</v>
      </c>
      <c r="C1917">
        <v>495834</v>
      </c>
      <c r="D1917">
        <v>487</v>
      </c>
    </row>
    <row r="1918" spans="1:4" x14ac:dyDescent="0.25">
      <c r="A1918" t="str">
        <f>T("   400911")</f>
        <v xml:space="preserve">   400911</v>
      </c>
      <c r="B1918" t="str">
        <f>T("   Tubes et tuyaux en caoutchouc vulcanisé non durci, non renforcés à l'aide d'autres matières ni autrement associés à d'autres matières, sans accessoires")</f>
        <v xml:space="preserve">   Tubes et tuyaux en caoutchouc vulcanisé non durci, non renforcés à l'aide d'autres matières ni autrement associés à d'autres matières, sans accessoires</v>
      </c>
      <c r="C1918">
        <v>84366</v>
      </c>
      <c r="D1918">
        <v>98</v>
      </c>
    </row>
    <row r="1919" spans="1:4" x14ac:dyDescent="0.25">
      <c r="A1919" t="str">
        <f>T("   400941")</f>
        <v xml:space="preserve">   400941</v>
      </c>
      <c r="B1919" t="str">
        <f>T("   Tubes et tuyaux en caoutchouc vulcanisé non durci, renforcés à l'aide d'autres matières que le métal ou les matières textiles ou autrement associés à d'autres matières que le métal ou les matières textiles, sans accessoires")</f>
        <v xml:space="preserve">   Tubes et tuyaux en caoutchouc vulcanisé non durci, renforcés à l'aide d'autres matières que le métal ou les matières textiles ou autrement associés à d'autres matières que le métal ou les matières textiles, sans accessoires</v>
      </c>
      <c r="C1919">
        <v>1823447</v>
      </c>
      <c r="D1919">
        <v>1700</v>
      </c>
    </row>
    <row r="1920" spans="1:4" x14ac:dyDescent="0.25">
      <c r="A1920" t="str">
        <f>T("   401110")</f>
        <v xml:space="preserve">   401110</v>
      </c>
      <c r="B1920" t="str">
        <f>T("   Pneumatiques neufs, en caoutchouc, des types utilisés pour les voitures de tourisme, y.c. les voitures du type 'break' et les voitures de course")</f>
        <v xml:space="preserve">   Pneumatiques neufs, en caoutchouc, des types utilisés pour les voitures de tourisme, y.c. les voitures du type 'break' et les voitures de course</v>
      </c>
      <c r="C1920">
        <v>549194685</v>
      </c>
      <c r="D1920">
        <v>506341</v>
      </c>
    </row>
    <row r="1921" spans="1:4" x14ac:dyDescent="0.25">
      <c r="A1921" t="str">
        <f>T("   401120")</f>
        <v xml:space="preserve">   401120</v>
      </c>
      <c r="B1921" t="str">
        <f>T("   Pneumatiques neufs, en caoutchouc, des types utilisés pour les autobus ou les camions (à l'excl. des pneumatiques à crampons, à chevrons ou simil.)")</f>
        <v xml:space="preserve">   Pneumatiques neufs, en caoutchouc, des types utilisés pour les autobus ou les camions (à l'excl. des pneumatiques à crampons, à chevrons ou simil.)</v>
      </c>
      <c r="C1921">
        <v>1509537055</v>
      </c>
      <c r="D1921">
        <v>1555257</v>
      </c>
    </row>
    <row r="1922" spans="1:4" x14ac:dyDescent="0.25">
      <c r="A1922" t="str">
        <f>T("   401140")</f>
        <v xml:space="preserve">   401140</v>
      </c>
      <c r="B1922" t="str">
        <f>T("   Pneumatiques neufs, en caoutchouc, des types utilisés pour les motocycles")</f>
        <v xml:space="preserve">   Pneumatiques neufs, en caoutchouc, des types utilisés pour les motocycles</v>
      </c>
      <c r="C1922">
        <v>60311586</v>
      </c>
      <c r="D1922">
        <v>107303</v>
      </c>
    </row>
    <row r="1923" spans="1:4" x14ac:dyDescent="0.25">
      <c r="A1923" t="str">
        <f>T("   401161")</f>
        <v xml:space="preserve">   401161</v>
      </c>
      <c r="B1923" t="str">
        <f>T("   Pneumatiques neufs, en caoutchouc, à crampons, à chevrons ou simil., des types utilisés pour les véhicules et engins agricoles et forestiers")</f>
        <v xml:space="preserve">   Pneumatiques neufs, en caoutchouc, à crampons, à chevrons ou simil., des types utilisés pour les véhicules et engins agricoles et forestiers</v>
      </c>
      <c r="C1923">
        <v>19506260</v>
      </c>
      <c r="D1923">
        <v>2100</v>
      </c>
    </row>
    <row r="1924" spans="1:4" x14ac:dyDescent="0.25">
      <c r="A1924" t="str">
        <f>T("   401194")</f>
        <v xml:space="preserve">   401194</v>
      </c>
      <c r="B1924" t="str">
        <f>T("   Pneumatiques neufs, en caoutchouc, des types utilisés pour les véhicules et engins de génie civil et de manutention industrielle, pour jantes d'un diamètre &gt; 61 cm (à l'excl. des pneumatiques à crampons, à chevrons ou simil.)")</f>
        <v xml:space="preserve">   Pneumatiques neufs, en caoutchouc, des types utilisés pour les véhicules et engins de génie civil et de manutention industrielle, pour jantes d'un diamètre &gt; 61 cm (à l'excl. des pneumatiques à crampons, à chevrons ou simil.)</v>
      </c>
      <c r="C1924">
        <v>2284688</v>
      </c>
      <c r="D1924">
        <v>1214</v>
      </c>
    </row>
    <row r="1925" spans="1:4" x14ac:dyDescent="0.25">
      <c r="A1925" t="str">
        <f>T("   401199")</f>
        <v xml:space="preserve">   401199</v>
      </c>
      <c r="B1925" t="s">
        <v>155</v>
      </c>
      <c r="C1925">
        <v>12000000</v>
      </c>
      <c r="D1925">
        <v>15341</v>
      </c>
    </row>
    <row r="1926" spans="1:4" x14ac:dyDescent="0.25">
      <c r="A1926" t="str">
        <f>T("   401212")</f>
        <v xml:space="preserve">   401212</v>
      </c>
      <c r="B1926" t="str">
        <f>T("   Pneumatiques rechapés, en caoutchouc, des types utilisés pour les autobus ou camions")</f>
        <v xml:space="preserve">   Pneumatiques rechapés, en caoutchouc, des types utilisés pour les autobus ou camions</v>
      </c>
      <c r="C1926">
        <v>22289367</v>
      </c>
      <c r="D1926">
        <v>7400</v>
      </c>
    </row>
    <row r="1927" spans="1:4" x14ac:dyDescent="0.25">
      <c r="A1927" t="str">
        <f>T("   401220")</f>
        <v xml:space="preserve">   401220</v>
      </c>
      <c r="B1927" t="str">
        <f>T("   Pneumatiques usagés, en caoutchouc")</f>
        <v xml:space="preserve">   Pneumatiques usagés, en caoutchouc</v>
      </c>
      <c r="C1927">
        <v>66903574</v>
      </c>
      <c r="D1927">
        <v>127747</v>
      </c>
    </row>
    <row r="1928" spans="1:4" x14ac:dyDescent="0.25">
      <c r="A1928" t="str">
        <f>T("   401310")</f>
        <v xml:space="preserve">   401310</v>
      </c>
      <c r="B1928" t="str">
        <f>T("   Chambres à air, en caoutchouc, des types utilisés pour les voitures de tourisme [y.c. les voitures du type 'break' et les voitures de course], les autobus ou les camions")</f>
        <v xml:space="preserve">   Chambres à air, en caoutchouc, des types utilisés pour les voitures de tourisme [y.c. les voitures du type 'break' et les voitures de course], les autobus ou les camions</v>
      </c>
      <c r="C1928">
        <v>6145492</v>
      </c>
      <c r="D1928">
        <v>16700</v>
      </c>
    </row>
    <row r="1929" spans="1:4" x14ac:dyDescent="0.25">
      <c r="A1929" t="str">
        <f>T("   401390")</f>
        <v xml:space="preserve">   401390</v>
      </c>
      <c r="B1929" t="str">
        <f>T("   Chambres à air, en caoutchouc (à l'excl. des chambres à air des types utilisés pour les voitures de tourisme, les voitures du type 'break', les voitures de course, les autobus, les camions et les bicyclettes)")</f>
        <v xml:space="preserve">   Chambres à air, en caoutchouc (à l'excl. des chambres à air des types utilisés pour les voitures de tourisme, les voitures du type 'break', les voitures de course, les autobus, les camions et les bicyclettes)</v>
      </c>
      <c r="C1929">
        <v>49818652</v>
      </c>
      <c r="D1929">
        <v>105775</v>
      </c>
    </row>
    <row r="1930" spans="1:4" x14ac:dyDescent="0.25">
      <c r="A1930" t="str">
        <f>T("   401519")</f>
        <v xml:space="preserve">   401519</v>
      </c>
      <c r="B1930" t="str">
        <f>T("   GANTS, MITAINES ET MOUFLES, EN CAOUTCHOUC VULCANISÉ NON-DURCI (À L'EXCL. DES GANTS POUR LA CHIRURGIE)")</f>
        <v xml:space="preserve">   GANTS, MITAINES ET MOUFLES, EN CAOUTCHOUC VULCANISÉ NON-DURCI (À L'EXCL. DES GANTS POUR LA CHIRURGIE)</v>
      </c>
      <c r="C1930">
        <v>729001</v>
      </c>
      <c r="D1930">
        <v>60</v>
      </c>
    </row>
    <row r="1931" spans="1:4" x14ac:dyDescent="0.25">
      <c r="A1931" t="str">
        <f>T("   401590")</f>
        <v xml:space="preserve">   401590</v>
      </c>
      <c r="B1931" t="str">
        <f>T("   Vêtements et accessoires du vêtement en caoutchouc vulcanisé non durci, pour tous usages (à l'excl. des gants, mitaines et moufles, des chaussures ou des coiffures ainsi que des parties de chaussures ou de coiffures)")</f>
        <v xml:space="preserve">   Vêtements et accessoires du vêtement en caoutchouc vulcanisé non durci, pour tous usages (à l'excl. des gants, mitaines et moufles, des chaussures ou des coiffures ainsi que des parties de chaussures ou de coiffures)</v>
      </c>
      <c r="C1931">
        <v>755456</v>
      </c>
      <c r="D1931">
        <v>778</v>
      </c>
    </row>
    <row r="1932" spans="1:4" x14ac:dyDescent="0.25">
      <c r="A1932" t="str">
        <f>T("   401610")</f>
        <v xml:space="preserve">   401610</v>
      </c>
      <c r="B1932" t="str">
        <f>T("   Ouvrages en caoutchouc alvéolaire non durci, n.d.a.")</f>
        <v xml:space="preserve">   Ouvrages en caoutchouc alvéolaire non durci, n.d.a.</v>
      </c>
      <c r="C1932">
        <v>1249666</v>
      </c>
      <c r="D1932">
        <v>5380</v>
      </c>
    </row>
    <row r="1933" spans="1:4" x14ac:dyDescent="0.25">
      <c r="A1933" t="str">
        <f>T("   401692")</f>
        <v xml:space="preserve">   401692</v>
      </c>
      <c r="B1933" t="str">
        <f>T("   Gommes à effacer, en caoutchouc vulcanisé non durci, prêtes à l'emploi (à l'excl. des articles simplement découpés de forme carrée ou rectangulaire)")</f>
        <v xml:space="preserve">   Gommes à effacer, en caoutchouc vulcanisé non durci, prêtes à l'emploi (à l'excl. des articles simplement découpés de forme carrée ou rectangulaire)</v>
      </c>
      <c r="C1933">
        <v>1063754</v>
      </c>
      <c r="D1933">
        <v>1500</v>
      </c>
    </row>
    <row r="1934" spans="1:4" x14ac:dyDescent="0.25">
      <c r="A1934" t="str">
        <f>T("   401693")</f>
        <v xml:space="preserve">   401693</v>
      </c>
      <c r="B1934" t="str">
        <f>T("   Joints en caoutchouc vulcanisé non durci (à l'excl. des articles en caoutchouc alvéolaire)")</f>
        <v xml:space="preserve">   Joints en caoutchouc vulcanisé non durci (à l'excl. des articles en caoutchouc alvéolaire)</v>
      </c>
      <c r="C1934">
        <v>903334</v>
      </c>
      <c r="D1934">
        <v>14310</v>
      </c>
    </row>
    <row r="1935" spans="1:4" x14ac:dyDescent="0.25">
      <c r="A1935" t="str">
        <f>T("   401699")</f>
        <v xml:space="preserve">   401699</v>
      </c>
      <c r="B1935" t="str">
        <f>T("   OUVRAGES EN CAOUTCHOUC VULCANISÉ NON-DURCI, N.D.A.")</f>
        <v xml:space="preserve">   OUVRAGES EN CAOUTCHOUC VULCANISÉ NON-DURCI, N.D.A.</v>
      </c>
      <c r="C1935">
        <v>6803445</v>
      </c>
      <c r="D1935">
        <v>13936</v>
      </c>
    </row>
    <row r="1936" spans="1:4" x14ac:dyDescent="0.25">
      <c r="A1936" t="str">
        <f>T("   420211")</f>
        <v xml:space="preserve">   420211</v>
      </c>
      <c r="B1936" t="str">
        <f>T("   Malles, valises et mallettes, y.c. les mallettes de toilette et les mallettes porte-documents, serviettes, cartables et contenants simil., à surface extérieure en cuir naturel, en cuir reconstitué ou en cuir verni")</f>
        <v xml:space="preserve">   Malles, valises et mallettes, y.c. les mallettes de toilette et les mallettes porte-documents, serviettes, cartables et contenants simil., à surface extérieure en cuir naturel, en cuir reconstitué ou en cuir verni</v>
      </c>
      <c r="C1936">
        <v>11641770</v>
      </c>
      <c r="D1936">
        <v>10201</v>
      </c>
    </row>
    <row r="1937" spans="1:4" x14ac:dyDescent="0.25">
      <c r="A1937" t="str">
        <f>T("   420212")</f>
        <v xml:space="preserve">   420212</v>
      </c>
      <c r="B1937" t="str">
        <f>T("   Malles, valises et mallettes, y.c. les mallettes de toilette et les mallettes porte-documents, serviettes, cartables et contenants simil., à surface extérieure en matières plastiques ou en matières textiles")</f>
        <v xml:space="preserve">   Malles, valises et mallettes, y.c. les mallettes de toilette et les mallettes porte-documents, serviettes, cartables et contenants simil., à surface extérieure en matières plastiques ou en matières textiles</v>
      </c>
      <c r="C1937">
        <v>192666851</v>
      </c>
      <c r="D1937">
        <v>309613</v>
      </c>
    </row>
    <row r="1938" spans="1:4" x14ac:dyDescent="0.25">
      <c r="A1938" t="str">
        <f>T("   420219")</f>
        <v xml:space="preserve">   420219</v>
      </c>
      <c r="B1938" t="s">
        <v>161</v>
      </c>
      <c r="C1938">
        <v>74208613</v>
      </c>
      <c r="D1938">
        <v>146741.5</v>
      </c>
    </row>
    <row r="1939" spans="1:4" x14ac:dyDescent="0.25">
      <c r="A1939" t="str">
        <f>T("   420222")</f>
        <v xml:space="preserve">   420222</v>
      </c>
      <c r="B1939" t="str">
        <f>T("   Sacs à main, même à bandoulière, y.c. ceux sans poignée, à surface extérieure en feuilles de matières plastiques ou en matières textiles")</f>
        <v xml:space="preserve">   Sacs à main, même à bandoulière, y.c. ceux sans poignée, à surface extérieure en feuilles de matières plastiques ou en matières textiles</v>
      </c>
      <c r="C1939">
        <v>222398136</v>
      </c>
      <c r="D1939">
        <v>433366</v>
      </c>
    </row>
    <row r="1940" spans="1:4" x14ac:dyDescent="0.25">
      <c r="A1940" t="str">
        <f>T("   420229")</f>
        <v xml:space="preserve">   420229</v>
      </c>
      <c r="B1940" t="str">
        <f>T("   Sacs à main, même à bandoulière, y.c. ceux sans poignée, à surface extérieure en fibre vulcanisée ou en carton, ou recouverts, en totalité ou en majeure partie, de ces mêmes matières ou de papier")</f>
        <v xml:space="preserve">   Sacs à main, même à bandoulière, y.c. ceux sans poignée, à surface extérieure en fibre vulcanisée ou en carton, ou recouverts, en totalité ou en majeure partie, de ces mêmes matières ou de papier</v>
      </c>
      <c r="C1940">
        <v>1214213906</v>
      </c>
      <c r="D1940">
        <v>2788155</v>
      </c>
    </row>
    <row r="1941" spans="1:4" x14ac:dyDescent="0.25">
      <c r="A1941" t="str">
        <f>T("   420232")</f>
        <v xml:space="preserve">   420232</v>
      </c>
      <c r="B1941" t="str">
        <f>T("   Portefeuilles, porte-monnaie, étuis à clés ou à cigarettes, blagues à tabac et articles simil. de poche ou de sac à main, à surface extérieure en feuilles de matières plastiques ou en matières textiles")</f>
        <v xml:space="preserve">   Portefeuilles, porte-monnaie, étuis à clés ou à cigarettes, blagues à tabac et articles simil. de poche ou de sac à main, à surface extérieure en feuilles de matières plastiques ou en matières textiles</v>
      </c>
      <c r="C1941">
        <v>5807473</v>
      </c>
      <c r="D1941">
        <v>10710</v>
      </c>
    </row>
    <row r="1942" spans="1:4" x14ac:dyDescent="0.25">
      <c r="A1942" t="str">
        <f>T("   420239")</f>
        <v xml:space="preserve">   420239</v>
      </c>
      <c r="B1942" t="s">
        <v>162</v>
      </c>
      <c r="C1942">
        <v>18014343</v>
      </c>
      <c r="D1942">
        <v>60969</v>
      </c>
    </row>
    <row r="1943" spans="1:4" x14ac:dyDescent="0.25">
      <c r="A1943" t="str">
        <f>T("   420292")</f>
        <v xml:space="preserve">   420292</v>
      </c>
      <c r="B1943" t="s">
        <v>163</v>
      </c>
      <c r="C1943">
        <v>28444818</v>
      </c>
      <c r="D1943">
        <v>52232</v>
      </c>
    </row>
    <row r="1944" spans="1:4" x14ac:dyDescent="0.25">
      <c r="A1944" t="str">
        <f>T("   420299")</f>
        <v xml:space="preserve">   420299</v>
      </c>
      <c r="B1944" t="s">
        <v>164</v>
      </c>
      <c r="C1944">
        <v>267481497</v>
      </c>
      <c r="D1944">
        <v>443065</v>
      </c>
    </row>
    <row r="1945" spans="1:4" x14ac:dyDescent="0.25">
      <c r="A1945" t="str">
        <f>T("   420329")</f>
        <v xml:space="preserve">   420329</v>
      </c>
      <c r="B1945" t="str">
        <f>T("   Gants, mitaines et moufles, en cuir naturel ou reconstitué (à l'excl. des articles spécialement conçus pour la pratique des sports)")</f>
        <v xml:space="preserve">   Gants, mitaines et moufles, en cuir naturel ou reconstitué (à l'excl. des articles spécialement conçus pour la pratique des sports)</v>
      </c>
      <c r="C1945">
        <v>866058</v>
      </c>
      <c r="D1945">
        <v>2060</v>
      </c>
    </row>
    <row r="1946" spans="1:4" x14ac:dyDescent="0.25">
      <c r="A1946" t="str">
        <f>T("   420330")</f>
        <v xml:space="preserve">   420330</v>
      </c>
      <c r="B1946" t="str">
        <f>T("   Ceintures, ceinturons et baudriers, en cuir naturel ou reconstitué")</f>
        <v xml:space="preserve">   Ceintures, ceinturons et baudriers, en cuir naturel ou reconstitué</v>
      </c>
      <c r="C1946">
        <v>5437823</v>
      </c>
      <c r="D1946">
        <v>9287</v>
      </c>
    </row>
    <row r="1947" spans="1:4" x14ac:dyDescent="0.25">
      <c r="A1947" t="str">
        <f>T("   420500")</f>
        <v xml:space="preserve">   420500</v>
      </c>
      <c r="B1947" t="s">
        <v>166</v>
      </c>
      <c r="C1947">
        <v>86213</v>
      </c>
      <c r="D1947">
        <v>40</v>
      </c>
    </row>
    <row r="1948" spans="1:4" x14ac:dyDescent="0.25">
      <c r="A1948" t="str">
        <f>T("   441213")</f>
        <v xml:space="preserve">   441213</v>
      </c>
      <c r="B1948" t="s">
        <v>176</v>
      </c>
      <c r="C1948">
        <v>66596944</v>
      </c>
      <c r="D1948">
        <v>561840</v>
      </c>
    </row>
    <row r="1949" spans="1:4" x14ac:dyDescent="0.25">
      <c r="A1949" t="str">
        <f>T("   441219")</f>
        <v xml:space="preserve">   441219</v>
      </c>
      <c r="B1949" t="s">
        <v>177</v>
      </c>
      <c r="C1949">
        <v>97797203</v>
      </c>
      <c r="D1949">
        <v>359365</v>
      </c>
    </row>
    <row r="1950" spans="1:4" x14ac:dyDescent="0.25">
      <c r="A1950" t="str">
        <f>T("   441229")</f>
        <v xml:space="preserve">   441229</v>
      </c>
      <c r="B1950" t="s">
        <v>179</v>
      </c>
      <c r="C1950">
        <v>10300000</v>
      </c>
      <c r="D1950">
        <v>93100</v>
      </c>
    </row>
    <row r="1951" spans="1:4" x14ac:dyDescent="0.25">
      <c r="A1951" t="str">
        <f>T("   441299")</f>
        <v xml:space="preserve">   441299</v>
      </c>
      <c r="B1951" t="s">
        <v>180</v>
      </c>
      <c r="C1951">
        <v>14598780</v>
      </c>
      <c r="D1951">
        <v>64186</v>
      </c>
    </row>
    <row r="1952" spans="1:4" x14ac:dyDescent="0.25">
      <c r="A1952" t="str">
        <f>T("   441400")</f>
        <v xml:space="preserve">   441400</v>
      </c>
      <c r="B1952" t="str">
        <f>T("   Cadres en bois pour tableaux, photographies, miroirs ou objets simil.")</f>
        <v xml:space="preserve">   Cadres en bois pour tableaux, photographies, miroirs ou objets simil.</v>
      </c>
      <c r="C1952">
        <v>47326369</v>
      </c>
      <c r="D1952">
        <v>144779</v>
      </c>
    </row>
    <row r="1953" spans="1:4" x14ac:dyDescent="0.25">
      <c r="A1953" t="str">
        <f>T("   441600")</f>
        <v xml:space="preserve">   441600</v>
      </c>
      <c r="B1953" t="str">
        <f>T("   Futailles, cuves, baquets et autres ouvrages de tonnellerie et leurs parties reconnaissables, en bois, y.c. les merrains")</f>
        <v xml:space="preserve">   Futailles, cuves, baquets et autres ouvrages de tonnellerie et leurs parties reconnaissables, en bois, y.c. les merrains</v>
      </c>
      <c r="C1953">
        <v>370537</v>
      </c>
      <c r="D1953">
        <v>1585</v>
      </c>
    </row>
    <row r="1954" spans="1:4" x14ac:dyDescent="0.25">
      <c r="A1954" t="str">
        <f>T("   441700")</f>
        <v xml:space="preserve">   441700</v>
      </c>
      <c r="B1954" t="s">
        <v>181</v>
      </c>
      <c r="C1954">
        <v>140449</v>
      </c>
      <c r="D1954">
        <v>2000</v>
      </c>
    </row>
    <row r="1955" spans="1:4" x14ac:dyDescent="0.25">
      <c r="A1955" t="str">
        <f>T("   441810")</f>
        <v xml:space="preserve">   441810</v>
      </c>
      <c r="B1955" t="str">
        <f>T("   Fenêtres, portes-fenêtres et leurs cadres et chambranles, en bois")</f>
        <v xml:space="preserve">   Fenêtres, portes-fenêtres et leurs cadres et chambranles, en bois</v>
      </c>
      <c r="C1955">
        <v>427030</v>
      </c>
      <c r="D1955">
        <v>800</v>
      </c>
    </row>
    <row r="1956" spans="1:4" x14ac:dyDescent="0.25">
      <c r="A1956" t="str">
        <f>T("   441820")</f>
        <v xml:space="preserve">   441820</v>
      </c>
      <c r="B1956" t="str">
        <f>T("   Portes et leurs cadres, chambranles et seuils, en bois")</f>
        <v xml:space="preserve">   Portes et leurs cadres, chambranles et seuils, en bois</v>
      </c>
      <c r="C1956">
        <v>16542546</v>
      </c>
      <c r="D1956">
        <v>38893</v>
      </c>
    </row>
    <row r="1957" spans="1:4" x14ac:dyDescent="0.25">
      <c r="A1957" t="str">
        <f>T("   441890")</f>
        <v xml:space="preserve">   441890</v>
      </c>
      <c r="B1957" t="s">
        <v>182</v>
      </c>
      <c r="C1957">
        <v>1154936</v>
      </c>
      <c r="D1957">
        <v>6020</v>
      </c>
    </row>
    <row r="1958" spans="1:4" x14ac:dyDescent="0.25">
      <c r="A1958" t="str">
        <f>T("   441900")</f>
        <v xml:space="preserve">   441900</v>
      </c>
      <c r="B1958" t="s">
        <v>183</v>
      </c>
      <c r="C1958">
        <v>3849118</v>
      </c>
      <c r="D1958">
        <v>17955</v>
      </c>
    </row>
    <row r="1959" spans="1:4" x14ac:dyDescent="0.25">
      <c r="A1959" t="str">
        <f>T("   442010")</f>
        <v xml:space="preserve">   442010</v>
      </c>
      <c r="B1959" t="str">
        <f>T("   Statuettes et autres objets d'ornement, en bois (autres que marquetés ou incrustés)")</f>
        <v xml:space="preserve">   Statuettes et autres objets d'ornement, en bois (autres que marquetés ou incrustés)</v>
      </c>
      <c r="C1959">
        <v>1681201</v>
      </c>
      <c r="D1959">
        <v>6181</v>
      </c>
    </row>
    <row r="1960" spans="1:4" x14ac:dyDescent="0.25">
      <c r="A1960" t="str">
        <f>T("   442110")</f>
        <v xml:space="preserve">   442110</v>
      </c>
      <c r="B1960" t="str">
        <f>T("   Cintres pour vêtements, en bois")</f>
        <v xml:space="preserve">   Cintres pour vêtements, en bois</v>
      </c>
      <c r="C1960">
        <v>6092826</v>
      </c>
      <c r="D1960">
        <v>25082</v>
      </c>
    </row>
    <row r="1961" spans="1:4" x14ac:dyDescent="0.25">
      <c r="A1961" t="str">
        <f>T("   442190")</f>
        <v xml:space="preserve">   442190</v>
      </c>
      <c r="B1961" t="str">
        <f>T("   Ouvrages, en bois, n.d.a.")</f>
        <v xml:space="preserve">   Ouvrages, en bois, n.d.a.</v>
      </c>
      <c r="C1961">
        <v>11939970</v>
      </c>
      <c r="D1961">
        <v>43805</v>
      </c>
    </row>
    <row r="1962" spans="1:4" x14ac:dyDescent="0.25">
      <c r="A1962" t="str">
        <f>T("   460199")</f>
        <v xml:space="preserve">   460199</v>
      </c>
      <c r="B1962" t="str">
        <f>T("   MATIÈRES À TRESSER, TRESSES ET ARTICLES SIMIL., EN MATIÈRES À TRESSER NON-VÉGÉTALES, TISSÉS OU PARALLÉLISÉS, À PLAT (À L'EXCL. DES REVÊTEMENTS MURAUX DU N° 4814 AINSI QUE DES PARTIES DE CHAUSSURES OU DE COIFFURES)")</f>
        <v xml:space="preserve">   MATIÈRES À TRESSER, TRESSES ET ARTICLES SIMIL., EN MATIÈRES À TRESSER NON-VÉGÉTALES, TISSÉS OU PARALLÉLISÉS, À PLAT (À L'EXCL. DES REVÊTEMENTS MURAUX DU N° 4814 AINSI QUE DES PARTIES DE CHAUSSURES OU DE COIFFURES)</v>
      </c>
      <c r="C1962">
        <v>1092355</v>
      </c>
      <c r="D1962">
        <v>3650</v>
      </c>
    </row>
    <row r="1963" spans="1:4" x14ac:dyDescent="0.25">
      <c r="A1963" t="str">
        <f>T("   480100")</f>
        <v xml:space="preserve">   480100</v>
      </c>
      <c r="B1963" t="str">
        <f>T("   Papier journal, en rouleaux d'une largeur &gt; 36 cm ou en feuilles de forme carrée ou rectangulaire dont au moins un coté &gt; 36 cm et l'autre &gt; 15 cm à l'état non plié")</f>
        <v xml:space="preserve">   Papier journal, en rouleaux d'une largeur &gt; 36 cm ou en feuilles de forme carrée ou rectangulaire dont au moins un coté &gt; 36 cm et l'autre &gt; 15 cm à l'état non plié</v>
      </c>
      <c r="C1963">
        <v>6444663</v>
      </c>
      <c r="D1963">
        <v>17820</v>
      </c>
    </row>
    <row r="1964" spans="1:4" x14ac:dyDescent="0.25">
      <c r="A1964" t="str">
        <f>T("   480210")</f>
        <v xml:space="preserve">   480210</v>
      </c>
      <c r="B1964" t="str">
        <f>T("   Papiers et cartons formés feuille à feuille [papiers à la main], de tout format et de toute forme")</f>
        <v xml:space="preserve">   Papiers et cartons formés feuille à feuille [papiers à la main], de tout format et de toute forme</v>
      </c>
      <c r="C1964">
        <v>845170</v>
      </c>
      <c r="D1964">
        <v>2036</v>
      </c>
    </row>
    <row r="1965" spans="1:4" x14ac:dyDescent="0.25">
      <c r="A1965" t="str">
        <f>T("   480254")</f>
        <v xml:space="preserve">   480254</v>
      </c>
      <c r="B1965" t="s">
        <v>188</v>
      </c>
      <c r="C1965">
        <v>7789417</v>
      </c>
      <c r="D1965">
        <v>15261</v>
      </c>
    </row>
    <row r="1966" spans="1:4" x14ac:dyDescent="0.25">
      <c r="A1966" t="str">
        <f>T("   480256")</f>
        <v xml:space="preserve">   480256</v>
      </c>
      <c r="B1966" t="s">
        <v>190</v>
      </c>
      <c r="C1966">
        <v>4265904</v>
      </c>
      <c r="D1966">
        <v>6682</v>
      </c>
    </row>
    <row r="1967" spans="1:4" x14ac:dyDescent="0.25">
      <c r="A1967" t="str">
        <f>T("   480257")</f>
        <v xml:space="preserve">   480257</v>
      </c>
      <c r="B1967" t="s">
        <v>191</v>
      </c>
      <c r="C1967">
        <v>190036964</v>
      </c>
      <c r="D1967">
        <v>423528</v>
      </c>
    </row>
    <row r="1968" spans="1:4" x14ac:dyDescent="0.25">
      <c r="A1968" t="str">
        <f>T("   480269")</f>
        <v xml:space="preserve">   480269</v>
      </c>
      <c r="B1968" t="s">
        <v>191</v>
      </c>
      <c r="C1968">
        <v>60213</v>
      </c>
      <c r="D1968">
        <v>85</v>
      </c>
    </row>
    <row r="1969" spans="1:4" x14ac:dyDescent="0.25">
      <c r="A1969" t="str">
        <f>T("   480300")</f>
        <v xml:space="preserve">   480300</v>
      </c>
      <c r="B1969" t="s">
        <v>194</v>
      </c>
      <c r="C1969">
        <v>22446668</v>
      </c>
      <c r="D1969">
        <v>64498</v>
      </c>
    </row>
    <row r="1970" spans="1:4" x14ac:dyDescent="0.25">
      <c r="A1970" t="str">
        <f>T("   480530")</f>
        <v xml:space="preserve">   480530</v>
      </c>
      <c r="B1970" t="str">
        <f>T("   PAPIER SULFITE D'EMBALLAGE, NON-COUCHÉ NI ENDUIT, EN ROULEAUX D'UNE LARGEUR &gt; 36 CM OU EN FEUILLES DE FORME CARRÉE OU RECTANGULAIRE DONT AU MOINS UN CÔTÉ &gt; 36 CM ET L'AUTRE &gt; 15 CM À L'ÉTAT NON-PLIÉ")</f>
        <v xml:space="preserve">   PAPIER SULFITE D'EMBALLAGE, NON-COUCHÉ NI ENDUIT, EN ROULEAUX D'UNE LARGEUR &gt; 36 CM OU EN FEUILLES DE FORME CARRÉE OU RECTANGULAIRE DONT AU MOINS UN CÔTÉ &gt; 36 CM ET L'AUTRE &gt; 15 CM À L'ÉTAT NON-PLIÉ</v>
      </c>
      <c r="C1970">
        <v>1333073</v>
      </c>
      <c r="D1970">
        <v>4500</v>
      </c>
    </row>
    <row r="1971" spans="1:4" x14ac:dyDescent="0.25">
      <c r="A1971" t="str">
        <f>T("   480593")</f>
        <v xml:space="preserve">   480593</v>
      </c>
      <c r="B1971" t="str">
        <f>T("   PAPIERS ET CARTONS, NON-COUCHÉS NI ENDUITS, EN ROULEAUX D'UNE LARGEUR &gt; 36 CM OU EN FEUILLES DE FORME CARRÉE OU RECTANGULAIRE DONT AU MOINS UN CÔTÉ &gt; 36 CM ET L'AUTRE &gt; 15 CM À L'ÉTAT NON-PLIÉ, D'UN POIDS &gt;= 225 G/M², N.D.A.")</f>
        <v xml:space="preserve">   PAPIERS ET CARTONS, NON-COUCHÉS NI ENDUITS, EN ROULEAUX D'UNE LARGEUR &gt; 36 CM OU EN FEUILLES DE FORME CARRÉE OU RECTANGULAIRE DONT AU MOINS UN CÔTÉ &gt; 36 CM ET L'AUTRE &gt; 15 CM À L'ÉTAT NON-PLIÉ, D'UN POIDS &gt;= 225 G/M², N.D.A.</v>
      </c>
      <c r="C1971">
        <v>106556393</v>
      </c>
      <c r="D1971">
        <v>292187</v>
      </c>
    </row>
    <row r="1972" spans="1:4" x14ac:dyDescent="0.25">
      <c r="A1972" t="str">
        <f>T("   480890")</f>
        <v xml:space="preserve">   480890</v>
      </c>
      <c r="B1972" t="s">
        <v>202</v>
      </c>
      <c r="C1972">
        <v>1613662</v>
      </c>
      <c r="D1972">
        <v>17433</v>
      </c>
    </row>
    <row r="1973" spans="1:4" x14ac:dyDescent="0.25">
      <c r="A1973" t="str">
        <f>T("   480910")</f>
        <v xml:space="preserve">   480910</v>
      </c>
      <c r="B1973" t="str">
        <f>T("   Papiers carbone et papiers simil., même imprimés, en rouleaux d'une largeur &gt; 36 cm ou en feuilles de forme carrée ou rectangulaire dont un côté au moins &gt; 36 cm à l'état non plié")</f>
        <v xml:space="preserve">   Papiers carbone et papiers simil., même imprimés, en rouleaux d'une largeur &gt; 36 cm ou en feuilles de forme carrée ou rectangulaire dont un côté au moins &gt; 36 cm à l'état non plié</v>
      </c>
      <c r="C1973">
        <v>27212424</v>
      </c>
      <c r="D1973">
        <v>34880</v>
      </c>
    </row>
    <row r="1974" spans="1:4" x14ac:dyDescent="0.25">
      <c r="A1974" t="str">
        <f>T("   480920")</f>
        <v xml:space="preserve">   480920</v>
      </c>
      <c r="B1974" t="str">
        <f>T("   PAPIERS DITS 'AUTOCOPIANTS', MÊME IMPRIMÉS, EN ROULEAUX D'UNE LARGEUR &gt; 36 CM OU EN FEUILLES DE FORME CARRÉE OU RECTANGULAIRE DONT UN CÔTÉ AU MOINS &gt; 36 CM À L'ÉTAT NON-PLIÉ (À L'EXCL. DES PAPIERS CARBONE ET DES PAPIERS SIMIL.)")</f>
        <v xml:space="preserve">   PAPIERS DITS 'AUTOCOPIANTS', MÊME IMPRIMÉS, EN ROULEAUX D'UNE LARGEUR &gt; 36 CM OU EN FEUILLES DE FORME CARRÉE OU RECTANGULAIRE DONT UN CÔTÉ AU MOINS &gt; 36 CM À L'ÉTAT NON-PLIÉ (À L'EXCL. DES PAPIERS CARBONE ET DES PAPIERS SIMIL.)</v>
      </c>
      <c r="C1974">
        <v>91547492</v>
      </c>
      <c r="D1974">
        <v>114996</v>
      </c>
    </row>
    <row r="1975" spans="1:4" x14ac:dyDescent="0.25">
      <c r="A1975" t="str">
        <f>T("   480990")</f>
        <v xml:space="preserve">   480990</v>
      </c>
      <c r="B1975" t="s">
        <v>203</v>
      </c>
      <c r="C1975">
        <v>546710</v>
      </c>
      <c r="D1975">
        <v>1370</v>
      </c>
    </row>
    <row r="1976" spans="1:4" x14ac:dyDescent="0.25">
      <c r="A1976" t="str">
        <f>T("   481019")</f>
        <v xml:space="preserve">   481019</v>
      </c>
      <c r="B1976" t="s">
        <v>204</v>
      </c>
      <c r="C1976">
        <v>19313211</v>
      </c>
      <c r="D1976">
        <v>85249</v>
      </c>
    </row>
    <row r="1977" spans="1:4" x14ac:dyDescent="0.25">
      <c r="A1977" t="str">
        <f>T("   481029")</f>
        <v xml:space="preserve">   481029</v>
      </c>
      <c r="B1977" t="s">
        <v>205</v>
      </c>
      <c r="C1977">
        <v>473641722</v>
      </c>
      <c r="D1977">
        <v>979401</v>
      </c>
    </row>
    <row r="1978" spans="1:4" x14ac:dyDescent="0.25">
      <c r="A1978" t="str">
        <f>T("   481031")</f>
        <v xml:space="preserve">   481031</v>
      </c>
      <c r="B1978" t="s">
        <v>206</v>
      </c>
      <c r="C1978">
        <v>1444900</v>
      </c>
      <c r="D1978">
        <v>535</v>
      </c>
    </row>
    <row r="1979" spans="1:4" x14ac:dyDescent="0.25">
      <c r="A1979" t="str">
        <f>T("   481092")</f>
        <v xml:space="preserve">   481092</v>
      </c>
      <c r="B1979" t="s">
        <v>207</v>
      </c>
      <c r="C1979">
        <v>44947690</v>
      </c>
      <c r="D1979">
        <v>163508</v>
      </c>
    </row>
    <row r="1980" spans="1:4" x14ac:dyDescent="0.25">
      <c r="A1980" t="str">
        <f>T("   481099")</f>
        <v xml:space="preserve">   481099</v>
      </c>
      <c r="B1980" t="s">
        <v>208</v>
      </c>
      <c r="C1980">
        <v>35275067</v>
      </c>
      <c r="D1980">
        <v>78970</v>
      </c>
    </row>
    <row r="1981" spans="1:4" x14ac:dyDescent="0.25">
      <c r="A1981" t="str">
        <f>T("   481141")</f>
        <v xml:space="preserve">   481141</v>
      </c>
      <c r="B1981" t="str">
        <f>T("   Papiers et cartons, auto-adhésifs, coloriés en surface, décorés en surface ou imprimés, en rouleaux ou en feuilles de forme carrée ou rectangulaire, de tout format (à l'excl. des produits du n° 4810)")</f>
        <v xml:space="preserve">   Papiers et cartons, auto-adhésifs, coloriés en surface, décorés en surface ou imprimés, en rouleaux ou en feuilles de forme carrée ou rectangulaire, de tout format (à l'excl. des produits du n° 4810)</v>
      </c>
      <c r="C1981">
        <v>58131</v>
      </c>
      <c r="D1981">
        <v>100</v>
      </c>
    </row>
    <row r="1982" spans="1:4" x14ac:dyDescent="0.25">
      <c r="A1982" t="str">
        <f>T("   481149")</f>
        <v xml:space="preserve">   481149</v>
      </c>
      <c r="B1982" t="str">
        <f>T("   Papiers et cartons gommés ou adhésifs, coloriés en surface, décorés en surface ou imprimés, en rouleaux ou en feuilles de forme carrée ou rectangulaire, de tout format (à l'excl. des papiers et cartons auto-adhésifs ainsi que des produits du n° 4810)")</f>
        <v xml:space="preserve">   Papiers et cartons gommés ou adhésifs, coloriés en surface, décorés en surface ou imprimés, en rouleaux ou en feuilles de forme carrée ou rectangulaire, de tout format (à l'excl. des papiers et cartons auto-adhésifs ainsi que des produits du n° 4810)</v>
      </c>
      <c r="C1982">
        <v>14477</v>
      </c>
      <c r="D1982">
        <v>24</v>
      </c>
    </row>
    <row r="1983" spans="1:4" x14ac:dyDescent="0.25">
      <c r="A1983" t="str">
        <f>T("   481159")</f>
        <v xml:space="preserve">   481159</v>
      </c>
      <c r="B1983" t="s">
        <v>209</v>
      </c>
      <c r="C1983">
        <v>1069215</v>
      </c>
      <c r="D1983">
        <v>1224</v>
      </c>
    </row>
    <row r="1984" spans="1:4" x14ac:dyDescent="0.25">
      <c r="A1984" t="str">
        <f>T("   481190")</f>
        <v xml:space="preserve">   481190</v>
      </c>
      <c r="B1984" t="s">
        <v>210</v>
      </c>
      <c r="C1984">
        <v>178222</v>
      </c>
      <c r="D1984">
        <v>51</v>
      </c>
    </row>
    <row r="1985" spans="1:4" x14ac:dyDescent="0.25">
      <c r="A1985" t="str">
        <f>T("   481420")</f>
        <v xml:space="preserve">   481420</v>
      </c>
      <c r="B1985" t="str">
        <f>T("   Papiers peints et revêtements muraux simil., constitués par du papier enduit ou recouvert, sur l'endroit, d'une couche de matière plastique grainée, gaufrée, coloriée, imprimée de motifs ou autrement décorée")</f>
        <v xml:space="preserve">   Papiers peints et revêtements muraux simil., constitués par du papier enduit ou recouvert, sur l'endroit, d'une couche de matière plastique grainée, gaufrée, coloriée, imprimée de motifs ou autrement décorée</v>
      </c>
      <c r="C1985">
        <v>4985</v>
      </c>
      <c r="D1985">
        <v>18</v>
      </c>
    </row>
    <row r="1986" spans="1:4" x14ac:dyDescent="0.25">
      <c r="A1986" t="str">
        <f>T("   481490")</f>
        <v xml:space="preserve">   481490</v>
      </c>
      <c r="B1986" t="s">
        <v>211</v>
      </c>
      <c r="C1986">
        <v>125111</v>
      </c>
      <c r="D1986">
        <v>250</v>
      </c>
    </row>
    <row r="1987" spans="1:4" x14ac:dyDescent="0.25">
      <c r="A1987" t="str">
        <f>T("   481710")</f>
        <v xml:space="preserve">   481710</v>
      </c>
      <c r="B1987" t="str">
        <f>T("   Enveloppes, en papier ou en carton")</f>
        <v xml:space="preserve">   Enveloppes, en papier ou en carton</v>
      </c>
      <c r="C1987">
        <v>306603</v>
      </c>
      <c r="D1987">
        <v>419</v>
      </c>
    </row>
    <row r="1988" spans="1:4" x14ac:dyDescent="0.25">
      <c r="A1988" t="str">
        <f>T("   481720")</f>
        <v xml:space="preserve">   481720</v>
      </c>
      <c r="B1988" t="str">
        <f>T("   Cartes-lettres, cartes postales non illustrées et cartes pour correspondance, en papier ou en carton (à l'excl. des articles comportant un timbre-poste imprimé)")</f>
        <v xml:space="preserve">   Cartes-lettres, cartes postales non illustrées et cartes pour correspondance, en papier ou en carton (à l'excl. des articles comportant un timbre-poste imprimé)</v>
      </c>
      <c r="C1988">
        <v>18867</v>
      </c>
      <c r="D1988">
        <v>22</v>
      </c>
    </row>
    <row r="1989" spans="1:4" x14ac:dyDescent="0.25">
      <c r="A1989" t="str">
        <f>T("   481810")</f>
        <v xml:space="preserve">   481810</v>
      </c>
      <c r="B1989" t="str">
        <f>T("   Papier hygiénique, en rouleaux d'une largeur &lt;= 36 cm")</f>
        <v xml:space="preserve">   Papier hygiénique, en rouleaux d'une largeur &lt;= 36 cm</v>
      </c>
      <c r="C1989">
        <v>355264873</v>
      </c>
      <c r="D1989">
        <v>676116</v>
      </c>
    </row>
    <row r="1990" spans="1:4" x14ac:dyDescent="0.25">
      <c r="A1990" t="str">
        <f>T("   481820")</f>
        <v xml:space="preserve">   481820</v>
      </c>
      <c r="B1990" t="str">
        <f>T("   Mouchoirs, serviettes à démaquiller et essuie-mains, en pâte à papier, papier, ouate de cellulose ou nappes de fibres de cellulose")</f>
        <v xml:space="preserve">   Mouchoirs, serviettes à démaquiller et essuie-mains, en pâte à papier, papier, ouate de cellulose ou nappes de fibres de cellulose</v>
      </c>
      <c r="C1990">
        <v>99393208</v>
      </c>
      <c r="D1990">
        <v>138331</v>
      </c>
    </row>
    <row r="1991" spans="1:4" x14ac:dyDescent="0.25">
      <c r="A1991" t="str">
        <f>T("   481840")</f>
        <v xml:space="preserve">   481840</v>
      </c>
      <c r="B1991" t="str">
        <f>T("   Serviettes et tampons hygiéniques, couches pour bébés et articles hygiéniques simil., en pâte à papier, papier, ouate de cellulose ou nappes de fibres de cellulose")</f>
        <v xml:space="preserve">   Serviettes et tampons hygiéniques, couches pour bébés et articles hygiéniques simil., en pâte à papier, papier, ouate de cellulose ou nappes de fibres de cellulose</v>
      </c>
      <c r="C1991">
        <v>166795230</v>
      </c>
      <c r="D1991">
        <v>304126</v>
      </c>
    </row>
    <row r="1992" spans="1:4" x14ac:dyDescent="0.25">
      <c r="A1992" t="str">
        <f>T("   481850")</f>
        <v xml:space="preserve">   481850</v>
      </c>
      <c r="B1992" t="s">
        <v>214</v>
      </c>
      <c r="C1992">
        <v>2912051</v>
      </c>
      <c r="D1992">
        <v>4465</v>
      </c>
    </row>
    <row r="1993" spans="1:4" x14ac:dyDescent="0.25">
      <c r="A1993" t="str">
        <f>T("   481890")</f>
        <v xml:space="preserve">   481890</v>
      </c>
      <c r="B1993" t="s">
        <v>215</v>
      </c>
      <c r="C1993">
        <v>980455</v>
      </c>
      <c r="D1993">
        <v>2000</v>
      </c>
    </row>
    <row r="1994" spans="1:4" x14ac:dyDescent="0.25">
      <c r="A1994" t="str">
        <f>T("   481910")</f>
        <v xml:space="preserve">   481910</v>
      </c>
      <c r="B1994" t="str">
        <f>T("   Boîtes et caisses en papier ou en carton ondulé")</f>
        <v xml:space="preserve">   Boîtes et caisses en papier ou en carton ondulé</v>
      </c>
      <c r="C1994">
        <v>72012689</v>
      </c>
      <c r="D1994">
        <v>328498.03000000003</v>
      </c>
    </row>
    <row r="1995" spans="1:4" x14ac:dyDescent="0.25">
      <c r="A1995" t="str">
        <f>T("   481920")</f>
        <v xml:space="preserve">   481920</v>
      </c>
      <c r="B1995" t="str">
        <f>T("   Boîtes et cartonnages, pliants, en papier ou en carton non ondulé")</f>
        <v xml:space="preserve">   Boîtes et cartonnages, pliants, en papier ou en carton non ondulé</v>
      </c>
      <c r="C1995">
        <v>33899726</v>
      </c>
      <c r="D1995">
        <v>44764</v>
      </c>
    </row>
    <row r="1996" spans="1:4" x14ac:dyDescent="0.25">
      <c r="A1996" t="str">
        <f>T("   481930")</f>
        <v xml:space="preserve">   481930</v>
      </c>
      <c r="B1996" t="str">
        <f>T("   Sacs, en papier, carton, ouate de cellulose ou nappes de fibres de cellulose, d'une largeur à la base &gt;= 40 cm")</f>
        <v xml:space="preserve">   Sacs, en papier, carton, ouate de cellulose ou nappes de fibres de cellulose, d'une largeur à la base &gt;= 40 cm</v>
      </c>
      <c r="C1996">
        <v>52999</v>
      </c>
      <c r="D1996">
        <v>1500</v>
      </c>
    </row>
    <row r="1997" spans="1:4" x14ac:dyDescent="0.25">
      <c r="A1997" t="str">
        <f>T("   481940")</f>
        <v xml:space="preserve">   481940</v>
      </c>
      <c r="B1997" t="str">
        <f>T("   Sacs, sachets, pochettes et cornets, en papier, carton, ouate de cellulose ou nappes de fibres de cellulose (à l'excl. des pochettes pour disques et des sacs d'une largeur à la base &gt;= 40 cm)")</f>
        <v xml:space="preserve">   Sacs, sachets, pochettes et cornets, en papier, carton, ouate de cellulose ou nappes de fibres de cellulose (à l'excl. des pochettes pour disques et des sacs d'une largeur à la base &gt;= 40 cm)</v>
      </c>
      <c r="C1997">
        <v>515405</v>
      </c>
      <c r="D1997">
        <v>400</v>
      </c>
    </row>
    <row r="1998" spans="1:4" x14ac:dyDescent="0.25">
      <c r="A1998" t="str">
        <f>T("   481950")</f>
        <v xml:space="preserve">   481950</v>
      </c>
      <c r="B1998" t="s">
        <v>216</v>
      </c>
      <c r="C1998">
        <v>9107042</v>
      </c>
      <c r="D1998">
        <v>16907</v>
      </c>
    </row>
    <row r="1999" spans="1:4" x14ac:dyDescent="0.25">
      <c r="A1999" t="str">
        <f>T("   481960")</f>
        <v xml:space="preserve">   481960</v>
      </c>
      <c r="B1999" t="str">
        <f>T("   Cartonnages de bureau, de magasin ou simil., rigides (à l'excl. des emballages)")</f>
        <v xml:space="preserve">   Cartonnages de bureau, de magasin ou simil., rigides (à l'excl. des emballages)</v>
      </c>
      <c r="C1999">
        <v>200000</v>
      </c>
      <c r="D1999">
        <v>7907</v>
      </c>
    </row>
    <row r="2000" spans="1:4" x14ac:dyDescent="0.25">
      <c r="A2000" t="str">
        <f>T("   482010")</f>
        <v xml:space="preserve">   482010</v>
      </c>
      <c r="B2000" t="str">
        <f>T("   Registres, livres comptables, carnets de notes, de commandes ou de quittances, blocs-mémorandums, blocs de papier à lettres, agendas et ouvrages simil., en papier ou carton")</f>
        <v xml:space="preserve">   Registres, livres comptables, carnets de notes, de commandes ou de quittances, blocs-mémorandums, blocs de papier à lettres, agendas et ouvrages simil., en papier ou carton</v>
      </c>
      <c r="C2000">
        <v>8873084</v>
      </c>
      <c r="D2000">
        <v>28582</v>
      </c>
    </row>
    <row r="2001" spans="1:4" x14ac:dyDescent="0.25">
      <c r="A2001" t="str">
        <f>T("   482020")</f>
        <v xml:space="preserve">   482020</v>
      </c>
      <c r="B2001" t="str">
        <f>T("   Cahiers pour l'écriture, en papier ou carton")</f>
        <v xml:space="preserve">   Cahiers pour l'écriture, en papier ou carton</v>
      </c>
      <c r="C2001">
        <v>135031065</v>
      </c>
      <c r="D2001">
        <v>530992</v>
      </c>
    </row>
    <row r="2002" spans="1:4" x14ac:dyDescent="0.25">
      <c r="A2002" t="str">
        <f>T("   482030")</f>
        <v xml:space="preserve">   482030</v>
      </c>
      <c r="B2002" t="str">
        <f>T("   Classeurs, reliures (autres que les couvertures pour livres), chemises et couvertures à dossiers, en papier ou en carton")</f>
        <v xml:space="preserve">   Classeurs, reliures (autres que les couvertures pour livres), chemises et couvertures à dossiers, en papier ou en carton</v>
      </c>
      <c r="C2002">
        <v>15444251</v>
      </c>
      <c r="D2002">
        <v>23805</v>
      </c>
    </row>
    <row r="2003" spans="1:4" x14ac:dyDescent="0.25">
      <c r="A2003" t="str">
        <f>T("   482050")</f>
        <v xml:space="preserve">   482050</v>
      </c>
      <c r="B2003" t="str">
        <f>T("   Albums pour échantillonnages ou pour collections, en papier ou en carton")</f>
        <v xml:space="preserve">   Albums pour échantillonnages ou pour collections, en papier ou en carton</v>
      </c>
      <c r="C2003">
        <v>8805012</v>
      </c>
      <c r="D2003">
        <v>35895</v>
      </c>
    </row>
    <row r="2004" spans="1:4" x14ac:dyDescent="0.25">
      <c r="A2004" t="str">
        <f>T("   482090")</f>
        <v xml:space="preserve">   482090</v>
      </c>
      <c r="B2004" t="s">
        <v>217</v>
      </c>
      <c r="C2004">
        <v>13723667</v>
      </c>
      <c r="D2004">
        <v>46287</v>
      </c>
    </row>
    <row r="2005" spans="1:4" x14ac:dyDescent="0.25">
      <c r="A2005" t="str">
        <f>T("   482110")</f>
        <v xml:space="preserve">   482110</v>
      </c>
      <c r="B2005" t="str">
        <f>T("   ÉTIQUETTES DE TOUS GENRES, EN PAPIER OU EN CARTON, IMPRIMÉES")</f>
        <v xml:space="preserve">   ÉTIQUETTES DE TOUS GENRES, EN PAPIER OU EN CARTON, IMPRIMÉES</v>
      </c>
      <c r="C2005">
        <v>663426</v>
      </c>
      <c r="D2005">
        <v>5718</v>
      </c>
    </row>
    <row r="2006" spans="1:4" x14ac:dyDescent="0.25">
      <c r="A2006" t="str">
        <f>T("   482190")</f>
        <v xml:space="preserve">   482190</v>
      </c>
      <c r="B2006" t="str">
        <f>T("   ÉTIQUETTES DE TOUS GENRES, EN PAPIER OU EN CARTON, NON-IMPRIMÉES")</f>
        <v xml:space="preserve">   ÉTIQUETTES DE TOUS GENRES, EN PAPIER OU EN CARTON, NON-IMPRIMÉES</v>
      </c>
      <c r="C2006">
        <v>47790</v>
      </c>
      <c r="D2006">
        <v>160</v>
      </c>
    </row>
    <row r="2007" spans="1:4" x14ac:dyDescent="0.25">
      <c r="A2007" t="str">
        <f>T("   482319")</f>
        <v xml:space="preserve">   482319</v>
      </c>
      <c r="B2007" t="str">
        <f>T("   Papier gommé ou adhésif, en bandes ou en rouleaux d'une largeur &lt;= 15 cm (à l'excl. des articles auto-adhésifs)")</f>
        <v xml:space="preserve">   Papier gommé ou adhésif, en bandes ou en rouleaux d'une largeur &lt;= 15 cm (à l'excl. des articles auto-adhésifs)</v>
      </c>
      <c r="C2007">
        <v>500000</v>
      </c>
      <c r="D2007">
        <v>2000</v>
      </c>
    </row>
    <row r="2008" spans="1:4" x14ac:dyDescent="0.25">
      <c r="A2008" t="str">
        <f>T("   482320")</f>
        <v xml:space="preserve">   482320</v>
      </c>
      <c r="B2008" t="str">
        <f>T("   Papier et carton-filtre, en bandes ou en rouleaux d'une largeur &lt;= 36 cm ou en feuilles de forme carrée ou rectangulaire dont aucun côté &gt; 36 cm à l'état non plié, ou découpés de forme autre que carrée ou rectangulaire")</f>
        <v xml:space="preserve">   Papier et carton-filtre, en bandes ou en rouleaux d'une largeur &lt;= 36 cm ou en feuilles de forme carrée ou rectangulaire dont aucun côté &gt; 36 cm à l'état non plié, ou découpés de forme autre que carrée ou rectangulaire</v>
      </c>
      <c r="C2008">
        <v>100000</v>
      </c>
      <c r="D2008">
        <v>18</v>
      </c>
    </row>
    <row r="2009" spans="1:4" x14ac:dyDescent="0.25">
      <c r="A2009" t="str">
        <f>T("   482340")</f>
        <v xml:space="preserve">   482340</v>
      </c>
      <c r="B2009" t="str">
        <f>T("   Papiers à diagrammes pour appareils enregistreurs, en bobines d'une largeur &lt;= 36 cm ou en feuilles de forme carrée ou rectangulaire dont aucun côté &gt; 36 cm à l'état non plié, ou découpés en disques")</f>
        <v xml:space="preserve">   Papiers à diagrammes pour appareils enregistreurs, en bobines d'une largeur &lt;= 36 cm ou en feuilles de forme carrée ou rectangulaire dont aucun côté &gt; 36 cm à l'état non plié, ou découpés en disques</v>
      </c>
      <c r="C2009">
        <v>20951785</v>
      </c>
      <c r="D2009">
        <v>11883</v>
      </c>
    </row>
    <row r="2010" spans="1:4" x14ac:dyDescent="0.25">
      <c r="A2010" t="str">
        <f>T("   482360")</f>
        <v xml:space="preserve">   482360</v>
      </c>
      <c r="B2010" t="str">
        <f>T("   Plateaux, plats, assiettes, tasses, gobelets et articles simil., en papier ou en carton")</f>
        <v xml:space="preserve">   Plateaux, plats, assiettes, tasses, gobelets et articles simil., en papier ou en carton</v>
      </c>
      <c r="C2010">
        <v>5872</v>
      </c>
      <c r="D2010">
        <v>7</v>
      </c>
    </row>
    <row r="2011" spans="1:4" x14ac:dyDescent="0.25">
      <c r="A2011" t="str">
        <f>T("   482390")</f>
        <v xml:space="preserve">   482390</v>
      </c>
      <c r="B2011" t="s">
        <v>218</v>
      </c>
      <c r="C2011">
        <v>6782662</v>
      </c>
      <c r="D2011">
        <v>14701</v>
      </c>
    </row>
    <row r="2012" spans="1:4" x14ac:dyDescent="0.25">
      <c r="A2012" t="str">
        <f>T("   490199")</f>
        <v xml:space="preserve">   490199</v>
      </c>
      <c r="B2012"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2012">
        <v>21957673</v>
      </c>
      <c r="D2012">
        <v>13196</v>
      </c>
    </row>
    <row r="2013" spans="1:4" x14ac:dyDescent="0.25">
      <c r="A2013" t="str">
        <f>T("   490510")</f>
        <v xml:space="preserve">   490510</v>
      </c>
      <c r="B2013" t="str">
        <f>T("   Globes, imprimés (à l'excl. des globes en relief)")</f>
        <v xml:space="preserve">   Globes, imprimés (à l'excl. des globes en relief)</v>
      </c>
      <c r="C2013">
        <v>2887552</v>
      </c>
      <c r="D2013">
        <v>1190</v>
      </c>
    </row>
    <row r="2014" spans="1:4" x14ac:dyDescent="0.25">
      <c r="A2014" t="str">
        <f>T("   490900")</f>
        <v xml:space="preserve">   490900</v>
      </c>
      <c r="B2014" t="str">
        <f>T("   Cartes postales imprimées ou illustrées; cartes imprimées comportant des voeux ou des messages personnels, même illustrées, avec ou sans enveloppes, garnitures ou applications")</f>
        <v xml:space="preserve">   Cartes postales imprimées ou illustrées; cartes imprimées comportant des voeux ou des messages personnels, même illustrées, avec ou sans enveloppes, garnitures ou applications</v>
      </c>
      <c r="C2014">
        <v>857101</v>
      </c>
      <c r="D2014">
        <v>4022</v>
      </c>
    </row>
    <row r="2015" spans="1:4" x14ac:dyDescent="0.25">
      <c r="A2015" t="str">
        <f>T("   491000")</f>
        <v xml:space="preserve">   491000</v>
      </c>
      <c r="B2015" t="str">
        <f>T("   Calendriers de tous genres, imprimés, y.c. les blocs de calendriers à effeuiller")</f>
        <v xml:space="preserve">   Calendriers de tous genres, imprimés, y.c. les blocs de calendriers à effeuiller</v>
      </c>
      <c r="C2015">
        <v>30011823</v>
      </c>
      <c r="D2015">
        <v>31071</v>
      </c>
    </row>
    <row r="2016" spans="1:4" x14ac:dyDescent="0.25">
      <c r="A2016" t="str">
        <f>T("   491110")</f>
        <v xml:space="preserve">   491110</v>
      </c>
      <c r="B2016" t="str">
        <f>T("   Imprimés publicitaires, catalogues commerciaux et simil.")</f>
        <v xml:space="preserve">   Imprimés publicitaires, catalogues commerciaux et simil.</v>
      </c>
      <c r="C2016">
        <v>5089387</v>
      </c>
      <c r="D2016">
        <v>7052</v>
      </c>
    </row>
    <row r="2017" spans="1:4" x14ac:dyDescent="0.25">
      <c r="A2017" t="str">
        <f>T("   491191")</f>
        <v xml:space="preserve">   491191</v>
      </c>
      <c r="B2017" t="str">
        <f>T("   Images, gravures et photographies, n.d.a.")</f>
        <v xml:space="preserve">   Images, gravures et photographies, n.d.a.</v>
      </c>
      <c r="C2017">
        <v>20952330</v>
      </c>
      <c r="D2017">
        <v>77071</v>
      </c>
    </row>
    <row r="2018" spans="1:4" x14ac:dyDescent="0.25">
      <c r="A2018" t="str">
        <f>T("   491199")</f>
        <v xml:space="preserve">   491199</v>
      </c>
      <c r="B2018" t="str">
        <f>T("   Imprimés, n.d.a.")</f>
        <v xml:space="preserve">   Imprimés, n.d.a.</v>
      </c>
      <c r="C2018">
        <v>58013939</v>
      </c>
      <c r="D2018">
        <v>14633</v>
      </c>
    </row>
    <row r="2019" spans="1:4" x14ac:dyDescent="0.25">
      <c r="A2019" t="str">
        <f>T("   500790")</f>
        <v xml:space="preserve">   500790</v>
      </c>
      <c r="B2019" t="str">
        <f>T("   Tissus de soie ou de déchets de soie (autres que la bourrette), contenant en prédominance, mais &lt; 85% de soie ou de déchets de soie")</f>
        <v xml:space="preserve">   Tissus de soie ou de déchets de soie (autres que la bourrette), contenant en prédominance, mais &lt; 85% de soie ou de déchets de soie</v>
      </c>
      <c r="C2019">
        <v>3440119</v>
      </c>
      <c r="D2019">
        <v>9748</v>
      </c>
    </row>
    <row r="2020" spans="1:4" x14ac:dyDescent="0.25">
      <c r="A2020" t="str">
        <f>T("   511300")</f>
        <v xml:space="preserve">   511300</v>
      </c>
      <c r="B2020" t="str">
        <f>T("   Tissus de poils grossiers ou de crin (à l'excl. des tissus pour usages techniques du n° 5911)")</f>
        <v xml:space="preserve">   Tissus de poils grossiers ou de crin (à l'excl. des tissus pour usages techniques du n° 5911)</v>
      </c>
      <c r="C2020">
        <v>6000000</v>
      </c>
      <c r="D2020">
        <v>10200</v>
      </c>
    </row>
    <row r="2021" spans="1:4" x14ac:dyDescent="0.25">
      <c r="A2021" t="str">
        <f>T("   520300")</f>
        <v xml:space="preserve">   520300</v>
      </c>
      <c r="B2021" t="str">
        <f>T("   Coton, cardé ou peigné")</f>
        <v xml:space="preserve">   Coton, cardé ou peigné</v>
      </c>
      <c r="C2021">
        <v>2362684</v>
      </c>
      <c r="D2021">
        <v>2419</v>
      </c>
    </row>
    <row r="2022" spans="1:4" x14ac:dyDescent="0.25">
      <c r="A2022" t="str">
        <f>T("   520419")</f>
        <v xml:space="preserve">   520419</v>
      </c>
      <c r="B2022" t="str">
        <f>T("   Fils à coudre de coton, contenant en prédominance, mais &lt; 85% en poids de coton, non conditionnés pour la vente au détail")</f>
        <v xml:space="preserve">   Fils à coudre de coton, contenant en prédominance, mais &lt; 85% en poids de coton, non conditionnés pour la vente au détail</v>
      </c>
      <c r="C2022">
        <v>8953631</v>
      </c>
      <c r="D2022">
        <v>9246</v>
      </c>
    </row>
    <row r="2023" spans="1:4" x14ac:dyDescent="0.25">
      <c r="A2023" t="str">
        <f>T("   520420")</f>
        <v xml:space="preserve">   520420</v>
      </c>
      <c r="B2023" t="str">
        <f>T("   Fils à coudre de coton, conditionnés pour la vente au détail")</f>
        <v xml:space="preserve">   Fils à coudre de coton, conditionnés pour la vente au détail</v>
      </c>
      <c r="C2023">
        <v>12984915</v>
      </c>
      <c r="D2023">
        <v>29346</v>
      </c>
    </row>
    <row r="2024" spans="1:4" x14ac:dyDescent="0.25">
      <c r="A2024" t="str">
        <f>T("   520790")</f>
        <v xml:space="preserve">   520790</v>
      </c>
      <c r="B2024" t="str">
        <f>T("   Fils de coton, contenant en prédominance, mais &lt; 85% en poids de coton, conditionnés pour la vente au détail (sauf les fils à coudre)")</f>
        <v xml:space="preserve">   Fils de coton, contenant en prédominance, mais &lt; 85% en poids de coton, conditionnés pour la vente au détail (sauf les fils à coudre)</v>
      </c>
      <c r="C2024">
        <v>7648615</v>
      </c>
      <c r="D2024">
        <v>17913</v>
      </c>
    </row>
    <row r="2025" spans="1:4" x14ac:dyDescent="0.25">
      <c r="A2025" t="str">
        <f>T("   520811")</f>
        <v xml:space="preserve">   520811</v>
      </c>
      <c r="B2025" t="str">
        <f>T("   Tissus de coton, écrus, à armure toile, contenant &gt;= 85% en poids de coton, d'un poids &lt;= 100 g/m²")</f>
        <v xml:space="preserve">   Tissus de coton, écrus, à armure toile, contenant &gt;= 85% en poids de coton, d'un poids &lt;= 100 g/m²</v>
      </c>
      <c r="C2025">
        <v>20000000</v>
      </c>
      <c r="D2025">
        <v>20080</v>
      </c>
    </row>
    <row r="2026" spans="1:4" x14ac:dyDescent="0.25">
      <c r="A2026" t="str">
        <f>T("   520829")</f>
        <v xml:space="preserve">   520829</v>
      </c>
      <c r="B2026" t="str">
        <f>T("   Tissus de coton, blanchis, contenant &gt;= 85% en poids de coton, d'un poids &lt;= 200 g/m² (à l'excl. des tissus à armure toile ou à armure sergé [y.c. le croisé] d'un rapport d'armure &lt;= 4)")</f>
        <v xml:space="preserve">   Tissus de coton, blanchis, contenant &gt;= 85% en poids de coton, d'un poids &lt;= 200 g/m² (à l'excl. des tissus à armure toile ou à armure sergé [y.c. le croisé] d'un rapport d'armure &lt;= 4)</v>
      </c>
      <c r="C2026">
        <v>459408611</v>
      </c>
      <c r="D2026">
        <v>689386</v>
      </c>
    </row>
    <row r="2027" spans="1:4" x14ac:dyDescent="0.25">
      <c r="A2027" t="str">
        <f>T("   520839")</f>
        <v xml:space="preserve">   520839</v>
      </c>
      <c r="B2027" t="str">
        <f>T("   Tissus de coton, teints, contenant &gt;= 85% en poids de coton, d'un poids &lt;= 200 g/m² (à l'excl. des tissus à armure toile ou à armure sergé [y.c. le croisé] d'un rapport d'armure &lt;= 4)")</f>
        <v xml:space="preserve">   Tissus de coton, teints, contenant &gt;= 85% en poids de coton, d'un poids &lt;= 200 g/m² (à l'excl. des tissus à armure toile ou à armure sergé [y.c. le croisé] d'un rapport d'armure &lt;= 4)</v>
      </c>
      <c r="C2027">
        <v>140422880</v>
      </c>
      <c r="D2027">
        <v>221912</v>
      </c>
    </row>
    <row r="2028" spans="1:4" x14ac:dyDescent="0.25">
      <c r="A2028" t="str">
        <f>T("   520849")</f>
        <v xml:space="preserve">   520849</v>
      </c>
      <c r="B2028" t="str">
        <f>T("   Tissus de coton, en fils de diverses couleurs, contenant &gt;= 85% en poids de coton, d'un poids &lt;= 200 g/m² (à l'excl. des tissus à armure toile ou à armure sergé [y.c. le croisé] d'un rapport d'armure &lt;= 4)")</f>
        <v xml:space="preserve">   Tissus de coton, en fils de diverses couleurs, contenant &gt;= 85% en poids de coton, d'un poids &lt;= 200 g/m² (à l'excl. des tissus à armure toile ou à armure sergé [y.c. le croisé] d'un rapport d'armure &lt;= 4)</v>
      </c>
      <c r="C2028">
        <v>60277000</v>
      </c>
      <c r="D2028">
        <v>63280</v>
      </c>
    </row>
    <row r="2029" spans="1:4" x14ac:dyDescent="0.25">
      <c r="A2029" t="str">
        <f>T("   520851")</f>
        <v xml:space="preserve">   520851</v>
      </c>
      <c r="B2029" t="str">
        <f>T("   Tissus de coton, imprimés, à armure toile, contenant &gt;= 85% en poids de coton, d'un poids &lt;= 100 g/m²")</f>
        <v xml:space="preserve">   Tissus de coton, imprimés, à armure toile, contenant &gt;= 85% en poids de coton, d'un poids &lt;= 100 g/m²</v>
      </c>
      <c r="C2029">
        <v>272004280</v>
      </c>
      <c r="D2029">
        <v>303980</v>
      </c>
    </row>
    <row r="2030" spans="1:4" x14ac:dyDescent="0.25">
      <c r="A2030" t="str">
        <f>T("   520852")</f>
        <v xml:space="preserve">   520852</v>
      </c>
      <c r="B2030" t="str">
        <f>T("   Tissus de coton, imprimés, à armure toile, contenant &gt;= 85% en poids de coton, d'un poids &gt; 100 g/m² mais &lt;= 200 g/m²")</f>
        <v xml:space="preserve">   Tissus de coton, imprimés, à armure toile, contenant &gt;= 85% en poids de coton, d'un poids &gt; 100 g/m² mais &lt;= 200 g/m²</v>
      </c>
      <c r="C2030">
        <v>5762935538</v>
      </c>
      <c r="D2030">
        <v>5945367</v>
      </c>
    </row>
    <row r="2031" spans="1:4" x14ac:dyDescent="0.25">
      <c r="A2031" t="str">
        <f>T("   520859")</f>
        <v xml:space="preserve">   520859</v>
      </c>
      <c r="B2031" t="str">
        <f>T("   TISSUS DE COTON, IMPRIMÉS, CONTENANT &gt;= 85% EN POIDS DE COTON, D'UN POIDS &lt;= 200 G/M² (À L'EXCL. DES TISSUS À ARMURE TOILE)")</f>
        <v xml:space="preserve">   TISSUS DE COTON, IMPRIMÉS, CONTENANT &gt;= 85% EN POIDS DE COTON, D'UN POIDS &lt;= 200 G/M² (À L'EXCL. DES TISSUS À ARMURE TOILE)</v>
      </c>
      <c r="C2031">
        <v>613001939</v>
      </c>
      <c r="D2031">
        <v>665233</v>
      </c>
    </row>
    <row r="2032" spans="1:4" x14ac:dyDescent="0.25">
      <c r="A2032" t="str">
        <f>T("   520929")</f>
        <v xml:space="preserve">   520929</v>
      </c>
      <c r="B2032" t="str">
        <f>T("   Tissus de coton, blanchis, contenant &gt;= 85% en poids de coton, d'un poids &gt; 200 g/m² (à l'excl. des tissus à armure toile ou à armure sergé [y.c. le croisé] d'un rapport d'armure &lt;= 4)")</f>
        <v xml:space="preserve">   Tissus de coton, blanchis, contenant &gt;= 85% en poids de coton, d'un poids &gt; 200 g/m² (à l'excl. des tissus à armure toile ou à armure sergé [y.c. le croisé] d'un rapport d'armure &lt;= 4)</v>
      </c>
      <c r="C2032">
        <v>364923858</v>
      </c>
      <c r="D2032">
        <v>555510</v>
      </c>
    </row>
    <row r="2033" spans="1:4" x14ac:dyDescent="0.25">
      <c r="A2033" t="str">
        <f>T("   520951")</f>
        <v xml:space="preserve">   520951</v>
      </c>
      <c r="B2033" t="str">
        <f>T("   Tissus de coton, imprimés, à armure toile, contenant &gt;= 85% en poids de coton, d'un poids &gt; 200 g/m²")</f>
        <v xml:space="preserve">   Tissus de coton, imprimés, à armure toile, contenant &gt;= 85% en poids de coton, d'un poids &gt; 200 g/m²</v>
      </c>
      <c r="C2033">
        <v>142416707</v>
      </c>
      <c r="D2033">
        <v>154432</v>
      </c>
    </row>
    <row r="2034" spans="1:4" x14ac:dyDescent="0.25">
      <c r="A2034" t="str">
        <f>T("   520959")</f>
        <v xml:space="preserve">   520959</v>
      </c>
      <c r="B2034" t="str">
        <f>T("   Tissus de coton, imprimés, contenant &gt;= 85% en poids de coton, d'un poids &gt; 200 g/m² (à l'excl. des tissus à armure toile ou à armure sergé [y.c. le croisé] d'un rapport d'armure &lt;= 4)")</f>
        <v xml:space="preserve">   Tissus de coton, imprimés, contenant &gt;= 85% en poids de coton, d'un poids &gt; 200 g/m² (à l'excl. des tissus à armure toile ou à armure sergé [y.c. le croisé] d'un rapport d'armure &lt;= 4)</v>
      </c>
      <c r="C2034">
        <v>13100000</v>
      </c>
      <c r="D2034">
        <v>21861</v>
      </c>
    </row>
    <row r="2035" spans="1:4" x14ac:dyDescent="0.25">
      <c r="A2035" t="str">
        <f>T("   521059")</f>
        <v xml:space="preserve">   521059</v>
      </c>
      <c r="B2035" t="s">
        <v>223</v>
      </c>
      <c r="C2035">
        <v>51001178</v>
      </c>
      <c r="D2035">
        <v>59320</v>
      </c>
    </row>
    <row r="2036" spans="1:4" x14ac:dyDescent="0.25">
      <c r="A2036" t="str">
        <f>T("   521129")</f>
        <v xml:space="preserve">   521129</v>
      </c>
      <c r="B2036" t="s">
        <v>224</v>
      </c>
      <c r="C2036">
        <v>719025</v>
      </c>
      <c r="D2036">
        <v>900</v>
      </c>
    </row>
    <row r="2037" spans="1:4" x14ac:dyDescent="0.25">
      <c r="A2037" t="str">
        <f>T("   521151")</f>
        <v xml:space="preserve">   521151</v>
      </c>
      <c r="B2037" t="str">
        <f>T("   Tissus de coton, imprimés, à armure toile, contenant en prédominance, mais &lt; 85% en poids de coton, mélangés principalement ou uniquement avec des fibres synthétiques ou artificielles, d'un poids &gt; 200 g/m²")</f>
        <v xml:space="preserve">   Tissus de coton, imprimés, à armure toile, contenant en prédominance, mais &lt; 85% en poids de coton, mélangés principalement ou uniquement avec des fibres synthétiques ou artificielles, d'un poids &gt; 200 g/m²</v>
      </c>
      <c r="C2037">
        <v>17000000</v>
      </c>
      <c r="D2037">
        <v>20250</v>
      </c>
    </row>
    <row r="2038" spans="1:4" x14ac:dyDescent="0.25">
      <c r="A2038" t="str">
        <f>T("   521159")</f>
        <v xml:space="preserve">   521159</v>
      </c>
      <c r="B2038" t="s">
        <v>225</v>
      </c>
      <c r="C2038">
        <v>16792086</v>
      </c>
      <c r="D2038">
        <v>53680</v>
      </c>
    </row>
    <row r="2039" spans="1:4" x14ac:dyDescent="0.25">
      <c r="A2039" t="str">
        <f>T("   521215")</f>
        <v xml:space="preserve">   521215</v>
      </c>
      <c r="B2039" t="str">
        <f>T("   Tissus de coton, imprimés, contenant en prédominance, mais &lt; 85% en poids de coton, autres que mélangés principalement ou uniquement avec des fibres synthétiques ou artificielles, d'un poids &lt;= 200 g/m²")</f>
        <v xml:space="preserve">   Tissus de coton, imprimés, contenant en prédominance, mais &lt; 85% en poids de coton, autres que mélangés principalement ou uniquement avec des fibres synthétiques ou artificielles, d'un poids &lt;= 200 g/m²</v>
      </c>
      <c r="C2039">
        <v>51000000</v>
      </c>
      <c r="D2039">
        <v>51700</v>
      </c>
    </row>
    <row r="2040" spans="1:4" x14ac:dyDescent="0.25">
      <c r="A2040" t="str">
        <f>T("   521223")</f>
        <v xml:space="preserve">   521223</v>
      </c>
      <c r="B2040" t="str">
        <f>T("   Tissus de coton, teints, contenant en prédominance, mais &lt; 85% en poids de coton, autres que mélangés principalement ou uniquement avec des fibres synthétiques ou artificielles, d'un poids &gt; 200 g/m²")</f>
        <v xml:space="preserve">   Tissus de coton, teints, contenant en prédominance, mais &lt; 85% en poids de coton, autres que mélangés principalement ou uniquement avec des fibres synthétiques ou artificielles, d'un poids &gt; 200 g/m²</v>
      </c>
      <c r="C2040">
        <v>400000</v>
      </c>
      <c r="D2040">
        <v>6500</v>
      </c>
    </row>
    <row r="2041" spans="1:4" x14ac:dyDescent="0.25">
      <c r="A2041" t="str">
        <f>T("   521225")</f>
        <v xml:space="preserve">   521225</v>
      </c>
      <c r="B2041" t="str">
        <f>T("   Tissus de coton, imprimés, contenant en prédominance, mais &lt; 85% en poids de coton, autres que mélangés principalement ou uniquement avec des fibres synthétiques ou artificielles, d'un poids &gt; 200 g/m²")</f>
        <v xml:space="preserve">   Tissus de coton, imprimés, contenant en prédominance, mais &lt; 85% en poids de coton, autres que mélangés principalement ou uniquement avec des fibres synthétiques ou artificielles, d'un poids &gt; 200 g/m²</v>
      </c>
      <c r="C2041">
        <v>200850607</v>
      </c>
      <c r="D2041">
        <v>222424</v>
      </c>
    </row>
    <row r="2042" spans="1:4" x14ac:dyDescent="0.25">
      <c r="A2042" t="str">
        <f>T("   531100")</f>
        <v xml:space="preserve">   531100</v>
      </c>
      <c r="B2042" t="str">
        <f>T("   Tissus de fibres textiles végétales (à l'excl. des tissus de coton, de lin, de jute ou d'autres fibres textiles libériennes du n° 5303); tissus de fils de papier")</f>
        <v xml:space="preserve">   Tissus de fibres textiles végétales (à l'excl. des tissus de coton, de lin, de jute ou d'autres fibres textiles libériennes du n° 5303); tissus de fils de papier</v>
      </c>
      <c r="C2042">
        <v>1201590</v>
      </c>
      <c r="D2042">
        <v>2095</v>
      </c>
    </row>
    <row r="2043" spans="1:4" x14ac:dyDescent="0.25">
      <c r="A2043" t="str">
        <f>T("   540110")</f>
        <v xml:space="preserve">   540110</v>
      </c>
      <c r="B2043" t="str">
        <f>T("   Fils à coudre de filaments synthétiques, même conditionnés pour la vente au détail")</f>
        <v xml:space="preserve">   Fils à coudre de filaments synthétiques, même conditionnés pour la vente au détail</v>
      </c>
      <c r="C2043">
        <v>69703526</v>
      </c>
      <c r="D2043">
        <v>76733</v>
      </c>
    </row>
    <row r="2044" spans="1:4" x14ac:dyDescent="0.25">
      <c r="A2044" t="str">
        <f>T("   540120")</f>
        <v xml:space="preserve">   540120</v>
      </c>
      <c r="B2044" t="str">
        <f>T("   Fils à coudre de filaments artificiels, même conditionnés pour la vente au détail")</f>
        <v xml:space="preserve">   Fils à coudre de filaments artificiels, même conditionnés pour la vente au détail</v>
      </c>
      <c r="C2044">
        <v>51040276</v>
      </c>
      <c r="D2044">
        <v>102029</v>
      </c>
    </row>
    <row r="2045" spans="1:4" x14ac:dyDescent="0.25">
      <c r="A2045" t="str">
        <f>T("   540210")</f>
        <v xml:space="preserve">   540210</v>
      </c>
      <c r="B2045" t="str">
        <f>T("   FILS À HAUTE TÉNACITÉ DE FILAMENTS DE NYLON OU D'AUTRES POLYAMIDES, NON-CONDITIONNÉS POUR LA VENTE AU DÉTAIL (À L'EXCL. DES FILS À COUDRE)")</f>
        <v xml:space="preserve">   FILS À HAUTE TÉNACITÉ DE FILAMENTS DE NYLON OU D'AUTRES POLYAMIDES, NON-CONDITIONNÉS POUR LA VENTE AU DÉTAIL (À L'EXCL. DES FILS À COUDRE)</v>
      </c>
      <c r="C2045">
        <v>2945126</v>
      </c>
      <c r="D2045">
        <v>3033</v>
      </c>
    </row>
    <row r="2046" spans="1:4" x14ac:dyDescent="0.25">
      <c r="A2046" t="str">
        <f>T("   540220")</f>
        <v xml:space="preserve">   540220</v>
      </c>
      <c r="B2046" t="str">
        <f>T("   Fils à haute ténacité de filaments de polyesters, non conditionnés pour la vente au détail (à l'excl. des fils à coudre)")</f>
        <v xml:space="preserve">   Fils à haute ténacité de filaments de polyesters, non conditionnés pour la vente au détail (à l'excl. des fils à coudre)</v>
      </c>
      <c r="C2046">
        <v>12000003</v>
      </c>
      <c r="D2046">
        <v>15664</v>
      </c>
    </row>
    <row r="2047" spans="1:4" x14ac:dyDescent="0.25">
      <c r="A2047" t="str">
        <f>T("   540239")</f>
        <v xml:space="preserve">   540239</v>
      </c>
      <c r="B2047" t="str">
        <f>T("   FILS TEXTURÉS DE FILAMENTS SYNTHÉTIQUES, NON-CONDITIONNÉS POUR LA VENTE AU DÉTAIL (À L'EXCL. DES FILS À COUDRE AINSI QUE DES FILS TEXTURÉS DE FILAMENTS DE POLYESTERS, DE NYLON OU D'AUTRES POLYAMIDES)")</f>
        <v xml:space="preserve">   FILS TEXTURÉS DE FILAMENTS SYNTHÉTIQUES, NON-CONDITIONNÉS POUR LA VENTE AU DÉTAIL (À L'EXCL. DES FILS À COUDRE AINSI QUE DES FILS TEXTURÉS DE FILAMENTS DE POLYESTERS, DE NYLON OU D'AUTRES POLYAMIDES)</v>
      </c>
      <c r="C2047">
        <v>3825000</v>
      </c>
      <c r="D2047">
        <v>3500</v>
      </c>
    </row>
    <row r="2048" spans="1:4" x14ac:dyDescent="0.25">
      <c r="A2048" t="str">
        <f>T("   540410")</f>
        <v xml:space="preserve">   540410</v>
      </c>
      <c r="B2048" t="str">
        <f>T("   Monofilaments synthétiques de &gt;= 67 décitex et dont la plus grande dimension de la coupe transversale &lt;= 1 mm")</f>
        <v xml:space="preserve">   Monofilaments synthétiques de &gt;= 67 décitex et dont la plus grande dimension de la coupe transversale &lt;= 1 mm</v>
      </c>
      <c r="C2048">
        <v>6924062</v>
      </c>
      <c r="D2048">
        <v>8516</v>
      </c>
    </row>
    <row r="2049" spans="1:4" x14ac:dyDescent="0.25">
      <c r="A2049" t="str">
        <f>T("   540761")</f>
        <v xml:space="preserve">   540761</v>
      </c>
      <c r="B2049" t="str">
        <f>T("   TISSUS OBTENUS À PARTIR DE FILS CONTENANT &gt;= 85% EN POIDS DE FILAMENTS DE POLYESTER NON-TEXTURÉS, Y.C. LES TISSUS OBTENUS À PARTIR DES MONOFILAMENTS DU N° 5404")</f>
        <v xml:space="preserve">   TISSUS OBTENUS À PARTIR DE FILS CONTENANT &gt;= 85% EN POIDS DE FILAMENTS DE POLYESTER NON-TEXTURÉS, Y.C. LES TISSUS OBTENUS À PARTIR DES MONOFILAMENTS DU N° 5404</v>
      </c>
      <c r="C2049">
        <v>17000000</v>
      </c>
      <c r="D2049">
        <v>36000</v>
      </c>
    </row>
    <row r="2050" spans="1:4" x14ac:dyDescent="0.25">
      <c r="A2050" t="str">
        <f>T("   540769")</f>
        <v xml:space="preserve">   540769</v>
      </c>
      <c r="B2050" t="str">
        <f>T("   TISSUS OBTENUS À PARTIR DE FILS CONTENANT &gt;= 85% EN POIDS DE MÉLANGES DE FILAMENTS DE POLYESTER TEXTURÉS ET DE FILAMENTS DE POLYESTER NON-TEXTURÉS, Y.C. LES TISSUS OBTENUS À PARTIR DES MONOFILAMENTS DU N° 5404")</f>
        <v xml:space="preserve">   TISSUS OBTENUS À PARTIR DE FILS CONTENANT &gt;= 85% EN POIDS DE MÉLANGES DE FILAMENTS DE POLYESTER TEXTURÉS ET DE FILAMENTS DE POLYESTER NON-TEXTURÉS, Y.C. LES TISSUS OBTENUS À PARTIR DES MONOFILAMENTS DU N° 5404</v>
      </c>
      <c r="C2050">
        <v>49500000</v>
      </c>
      <c r="D2050">
        <v>62527</v>
      </c>
    </row>
    <row r="2051" spans="1:4" x14ac:dyDescent="0.25">
      <c r="A2051" t="str">
        <f>T("   540784")</f>
        <v xml:space="preserve">   540784</v>
      </c>
      <c r="B2051" t="str">
        <f>T("   Tissus imprimés, obtenus à partir de fils de filaments synthétiques contenant en prédominance, mais &lt; 85% en poids de ces filaments et mélangés principalement ou uniquement avec du coton, y.c. les tissus obtenus à partir des monofilaments du n° 5404")</f>
        <v xml:space="preserve">   Tissus imprimés, obtenus à partir de fils de filaments synthétiques contenant en prédominance, mais &lt; 85% en poids de ces filaments et mélangés principalement ou uniquement avec du coton, y.c. les tissus obtenus à partir des monofilaments du n° 5404</v>
      </c>
      <c r="C2051">
        <v>20000879</v>
      </c>
      <c r="D2051">
        <v>11000</v>
      </c>
    </row>
    <row r="2052" spans="1:4" x14ac:dyDescent="0.25">
      <c r="A2052" t="str">
        <f>T("   540794")</f>
        <v xml:space="preserve">   540794</v>
      </c>
      <c r="B2052" t="s">
        <v>228</v>
      </c>
      <c r="C2052">
        <v>172283586</v>
      </c>
      <c r="D2052">
        <v>187821</v>
      </c>
    </row>
    <row r="2053" spans="1:4" x14ac:dyDescent="0.25">
      <c r="A2053" t="str">
        <f>T("   550320")</f>
        <v xml:space="preserve">   550320</v>
      </c>
      <c r="B2053" t="str">
        <f>T("   Fibres discontinues de polyesters, non cardées ni peignées ni autrement transformées pour la filature")</f>
        <v xml:space="preserve">   Fibres discontinues de polyesters, non cardées ni peignées ni autrement transformées pour la filature</v>
      </c>
      <c r="C2053">
        <v>175049093</v>
      </c>
      <c r="D2053">
        <v>102912</v>
      </c>
    </row>
    <row r="2054" spans="1:4" x14ac:dyDescent="0.25">
      <c r="A2054" t="str">
        <f>T("   550810")</f>
        <v xml:space="preserve">   550810</v>
      </c>
      <c r="B2054" t="str">
        <f>T("   Fils à coudre de fibres synthétiques discontinues, même conditionnés pour la vente au détail")</f>
        <v xml:space="preserve">   Fils à coudre de fibres synthétiques discontinues, même conditionnés pour la vente au détail</v>
      </c>
      <c r="C2054">
        <v>25200000</v>
      </c>
      <c r="D2054">
        <v>41500</v>
      </c>
    </row>
    <row r="2055" spans="1:4" x14ac:dyDescent="0.25">
      <c r="A2055" t="str">
        <f>T("   550820")</f>
        <v xml:space="preserve">   550820</v>
      </c>
      <c r="B2055" t="str">
        <f>T("   Fils à coudre de fibres artificielles discontinues, même conditionnés pour la vente au détail")</f>
        <v xml:space="preserve">   Fils à coudre de fibres artificielles discontinues, même conditionnés pour la vente au détail</v>
      </c>
      <c r="C2055">
        <v>1111770</v>
      </c>
      <c r="D2055">
        <v>9339</v>
      </c>
    </row>
    <row r="2056" spans="1:4" x14ac:dyDescent="0.25">
      <c r="A2056" t="str">
        <f>T("   550959")</f>
        <v xml:space="preserve">   550959</v>
      </c>
      <c r="B2056" t="s">
        <v>229</v>
      </c>
      <c r="C2056">
        <v>10325000</v>
      </c>
      <c r="D2056">
        <v>16634</v>
      </c>
    </row>
    <row r="2057" spans="1:4" x14ac:dyDescent="0.25">
      <c r="A2057" t="str">
        <f>T("   551120")</f>
        <v xml:space="preserve">   551120</v>
      </c>
      <c r="B2057" t="str">
        <f>T("   Fils de fibres synthétiques discontinues, contenant en prédominance, mais &lt; 85% en poids de ces fibres, conditionnés pour la vente au détail (à l'excl. des fils à coudre)")</f>
        <v xml:space="preserve">   Fils de fibres synthétiques discontinues, contenant en prédominance, mais &lt; 85% en poids de ces fibres, conditionnés pour la vente au détail (à l'excl. des fils à coudre)</v>
      </c>
      <c r="C2057">
        <v>9000471</v>
      </c>
      <c r="D2057">
        <v>16055</v>
      </c>
    </row>
    <row r="2058" spans="1:4" x14ac:dyDescent="0.25">
      <c r="A2058" t="str">
        <f>T("   551219")</f>
        <v xml:space="preserve">   551219</v>
      </c>
      <c r="B2058" t="str">
        <f>T("   Tissus, teints, imprimés ou en fils de diverses couleurs, de fibres discontinues de polyester, contenant &gt;= 85% en poids de ces fibres")</f>
        <v xml:space="preserve">   Tissus, teints, imprimés ou en fils de diverses couleurs, de fibres discontinues de polyester, contenant &gt;= 85% en poids de ces fibres</v>
      </c>
      <c r="C2058">
        <v>221207518</v>
      </c>
      <c r="D2058">
        <v>465794</v>
      </c>
    </row>
    <row r="2059" spans="1:4" x14ac:dyDescent="0.25">
      <c r="A2059" t="str">
        <f>T("   551229")</f>
        <v xml:space="preserve">   551229</v>
      </c>
      <c r="B2059" t="str">
        <f>T("   Tissus, teints, imprimés ou en fils de diverses couleurs, de fibres discontinues acryliques ou modacryliques, contenant &gt;= 85% en poids de ces fibres")</f>
        <v xml:space="preserve">   Tissus, teints, imprimés ou en fils de diverses couleurs, de fibres discontinues acryliques ou modacryliques, contenant &gt;= 85% en poids de ces fibres</v>
      </c>
      <c r="C2059">
        <v>12264649</v>
      </c>
      <c r="D2059">
        <v>19747</v>
      </c>
    </row>
    <row r="2060" spans="1:4" x14ac:dyDescent="0.25">
      <c r="A2060" t="str">
        <f>T("   551291")</f>
        <v xml:space="preserve">   551291</v>
      </c>
      <c r="B2060" t="str">
        <f>T("   Tissus, écrus ou blanchis, de fibres synthétiques discontinues, contenant &gt;= 85% en poids de ces fibres (à l'excl. des tissus de fibres discontinues acryliques ou modacryliques ou de fibres discontinues de polyester)")</f>
        <v xml:space="preserve">   Tissus, écrus ou blanchis, de fibres synthétiques discontinues, contenant &gt;= 85% en poids de ces fibres (à l'excl. des tissus de fibres discontinues acryliques ou modacryliques ou de fibres discontinues de polyester)</v>
      </c>
      <c r="C2060">
        <v>28000259</v>
      </c>
      <c r="D2060">
        <v>29425</v>
      </c>
    </row>
    <row r="2061" spans="1:4" x14ac:dyDescent="0.25">
      <c r="A2061" t="str">
        <f>T("   551299")</f>
        <v xml:space="preserve">   551299</v>
      </c>
      <c r="B2061" t="str">
        <f>T("   Tissus, teints, imprimés ou en fils de diverses couleurs, de fibres synthétiques discontinues, contenant &gt;= 85% en poids de ces fibres (à l'excl. des tissus de fibres discontinues acryliques ou modacryliques ou de fibres discontinues de polyester)")</f>
        <v xml:space="preserve">   Tissus, teints, imprimés ou en fils de diverses couleurs, de fibres synthétiques discontinues, contenant &gt;= 85% en poids de ces fibres (à l'excl. des tissus de fibres discontinues acryliques ou modacryliques ou de fibres discontinues de polyester)</v>
      </c>
      <c r="C2061">
        <v>96556514</v>
      </c>
      <c r="D2061">
        <v>129499</v>
      </c>
    </row>
    <row r="2062" spans="1:4" x14ac:dyDescent="0.25">
      <c r="A2062" t="str">
        <f>T("   551313")</f>
        <v xml:space="preserve">   551313</v>
      </c>
      <c r="B2062" t="s">
        <v>230</v>
      </c>
      <c r="C2062">
        <v>351637809</v>
      </c>
      <c r="D2062">
        <v>610860</v>
      </c>
    </row>
    <row r="2063" spans="1:4" x14ac:dyDescent="0.25">
      <c r="A2063" t="str">
        <f>T("   551319")</f>
        <v xml:space="preserve">   551319</v>
      </c>
      <c r="B2063" t="s">
        <v>231</v>
      </c>
      <c r="C2063">
        <v>222359672</v>
      </c>
      <c r="D2063">
        <v>321998</v>
      </c>
    </row>
    <row r="2064" spans="1:4" x14ac:dyDescent="0.25">
      <c r="A2064" t="str">
        <f>T("   551321")</f>
        <v xml:space="preserve">   551321</v>
      </c>
      <c r="B2064" t="str">
        <f>T("   Tissus, teints, de fibres discontinues de polyester, contenant en prédominance, mais &lt; 85% en poids de ces fibres, mélangés principalement ou uniquement avec du coton, à armure toile, d'un poids &lt;= 170 g/m²")</f>
        <v xml:space="preserve">   Tissus, teints, de fibres discontinues de polyester, contenant en prédominance, mais &lt; 85% en poids de ces fibres, mélangés principalement ou uniquement avec du coton, à armure toile, d'un poids &lt;= 170 g/m²</v>
      </c>
      <c r="C2064">
        <v>17000000</v>
      </c>
      <c r="D2064">
        <v>18702</v>
      </c>
    </row>
    <row r="2065" spans="1:4" x14ac:dyDescent="0.25">
      <c r="A2065" t="str">
        <f>T("   551323")</f>
        <v xml:space="preserve">   551323</v>
      </c>
      <c r="B2065" t="str">
        <f>T("   TISSUS, TEINTS, DE FIBRES DISCONTINUES DE POLYESTER, CONTENANT EN PRÉDOMINANCE, MAIS &lt; 85% EN POIDS DE CES FIBRES, MÉLANGÉS PRINCIPALEMENT OU UNIQUEMENT AVEC DU COTON, D'UN POIDS &lt;= 170 G/M² (À L'EXCL. DES TISSUS À ARMURE TOILE)")</f>
        <v xml:space="preserve">   TISSUS, TEINTS, DE FIBRES DISCONTINUES DE POLYESTER, CONTENANT EN PRÉDOMINANCE, MAIS &lt; 85% EN POIDS DE CES FIBRES, MÉLANGÉS PRINCIPALEMENT OU UNIQUEMENT AVEC DU COTON, D'UN POIDS &lt;= 170 G/M² (À L'EXCL. DES TISSUS À ARMURE TOILE)</v>
      </c>
      <c r="C2065">
        <v>17761370</v>
      </c>
      <c r="D2065">
        <v>18000</v>
      </c>
    </row>
    <row r="2066" spans="1:4" x14ac:dyDescent="0.25">
      <c r="A2066" t="str">
        <f>T("   551329")</f>
        <v xml:space="preserve">   551329</v>
      </c>
      <c r="B2066" t="str">
        <f>T("   Tissus, teints, de fibres synthétiques discontinues, contenant en prédominance, mais &lt; 85% en poids de ces fibres, mélangés principalement ou uniquement avec du coton, d'un poids &lt;= 170 g/m² (à l'excl. des tissus de fibres discontinues de polyester)")</f>
        <v xml:space="preserve">   Tissus, teints, de fibres synthétiques discontinues, contenant en prédominance, mais &lt; 85% en poids de ces fibres, mélangés principalement ou uniquement avec du coton, d'un poids &lt;= 170 g/m² (à l'excl. des tissus de fibres discontinues de polyester)</v>
      </c>
      <c r="C2066">
        <v>256003335</v>
      </c>
      <c r="D2066">
        <v>301882</v>
      </c>
    </row>
    <row r="2067" spans="1:4" x14ac:dyDescent="0.25">
      <c r="A2067" t="str">
        <f>T("   551339")</f>
        <v xml:space="preserve">   551339</v>
      </c>
      <c r="B2067" t="s">
        <v>232</v>
      </c>
      <c r="C2067">
        <v>13200000</v>
      </c>
      <c r="D2067">
        <v>57000</v>
      </c>
    </row>
    <row r="2068" spans="1:4" x14ac:dyDescent="0.25">
      <c r="A2068" t="str">
        <f>T("   551349")</f>
        <v xml:space="preserve">   551349</v>
      </c>
      <c r="B2068" t="str">
        <f>T("   Tissus, imprimés, de fibres synthétiques discontinues, contenant en prédominance, mais &lt; 85% en poids de ces fibres, mélangés principalement ou uniquement avec du coton, d'un poids &lt;= 170 g/m² (à l'excl. des tissus de fibres discontinues de polyester)")</f>
        <v xml:space="preserve">   Tissus, imprimés, de fibres synthétiques discontinues, contenant en prédominance, mais &lt; 85% en poids de ces fibres, mélangés principalement ou uniquement avec du coton, d'un poids &lt;= 170 g/m² (à l'excl. des tissus de fibres discontinues de polyester)</v>
      </c>
      <c r="C2068">
        <v>268560447</v>
      </c>
      <c r="D2068">
        <v>596701</v>
      </c>
    </row>
    <row r="2069" spans="1:4" x14ac:dyDescent="0.25">
      <c r="A2069" t="str">
        <f>T("   551439")</f>
        <v xml:space="preserve">   551439</v>
      </c>
      <c r="B2069" t="s">
        <v>234</v>
      </c>
      <c r="C2069">
        <v>1412068</v>
      </c>
      <c r="D2069">
        <v>2500</v>
      </c>
    </row>
    <row r="2070" spans="1:4" x14ac:dyDescent="0.25">
      <c r="A2070" t="str">
        <f>T("   551443")</f>
        <v xml:space="preserve">   551443</v>
      </c>
      <c r="B2070" t="s">
        <v>235</v>
      </c>
      <c r="C2070">
        <v>5456553</v>
      </c>
      <c r="D2070">
        <v>9200</v>
      </c>
    </row>
    <row r="2071" spans="1:4" x14ac:dyDescent="0.25">
      <c r="A2071" t="str">
        <f>T("   551449")</f>
        <v xml:space="preserve">   551449</v>
      </c>
      <c r="B2071" t="str">
        <f>T("   Tissus, imprimés, de fibres synthétiques discontinues, contenant en prédominance, mais &lt; 85% en poids de ces fibres, mélangés principalement ou uniquement avec du coton, d'un poids &gt; 170 g/m² (à l'excl. des tissus de fibres discontinues de polyester)")</f>
        <v xml:space="preserve">   Tissus, imprimés, de fibres synthétiques discontinues, contenant en prédominance, mais &lt; 85% en poids de ces fibres, mélangés principalement ou uniquement avec du coton, d'un poids &gt; 170 g/m² (à l'excl. des tissus de fibres discontinues de polyester)</v>
      </c>
      <c r="C2071">
        <v>13097472</v>
      </c>
      <c r="D2071">
        <v>37270</v>
      </c>
    </row>
    <row r="2072" spans="1:4" x14ac:dyDescent="0.25">
      <c r="A2072" t="str">
        <f>T("   551519")</f>
        <v xml:space="preserve">   551519</v>
      </c>
      <c r="B2072" t="s">
        <v>236</v>
      </c>
      <c r="C2072">
        <v>91011961</v>
      </c>
      <c r="D2072">
        <v>96055</v>
      </c>
    </row>
    <row r="2073" spans="1:4" x14ac:dyDescent="0.25">
      <c r="A2073" t="str">
        <f>T("   551529")</f>
        <v xml:space="preserve">   551529</v>
      </c>
      <c r="B2073" t="s">
        <v>237</v>
      </c>
      <c r="C2073">
        <v>3500000</v>
      </c>
      <c r="D2073">
        <v>6000</v>
      </c>
    </row>
    <row r="2074" spans="1:4" x14ac:dyDescent="0.25">
      <c r="A2074" t="str">
        <f>T("   551592")</f>
        <v xml:space="preserve">   551592</v>
      </c>
      <c r="B2074" t="s">
        <v>239</v>
      </c>
      <c r="C2074">
        <v>33245000</v>
      </c>
      <c r="D2074">
        <v>53684</v>
      </c>
    </row>
    <row r="2075" spans="1:4" x14ac:dyDescent="0.25">
      <c r="A2075" t="str">
        <f>T("   551599")</f>
        <v xml:space="preserve">   551599</v>
      </c>
      <c r="B2075" t="s">
        <v>240</v>
      </c>
      <c r="C2075">
        <v>49342030</v>
      </c>
      <c r="D2075">
        <v>103825</v>
      </c>
    </row>
    <row r="2076" spans="1:4" x14ac:dyDescent="0.25">
      <c r="A2076" t="str">
        <f>T("   551632")</f>
        <v xml:space="preserve">   551632</v>
      </c>
      <c r="B2076" t="str">
        <f>T("   Tissus, teints, de fibres artificielles discontinues, contenant en prédominance, mais &lt; 85% en poids de ces fibres, mélangés principalement ou uniquement avec de la laine ou des poils fins")</f>
        <v xml:space="preserve">   Tissus, teints, de fibres artificielles discontinues, contenant en prédominance, mais &lt; 85% en poids de ces fibres, mélangés principalement ou uniquement avec de la laine ou des poils fins</v>
      </c>
      <c r="C2076">
        <v>1493655</v>
      </c>
      <c r="D2076">
        <v>1538</v>
      </c>
    </row>
    <row r="2077" spans="1:4" x14ac:dyDescent="0.25">
      <c r="A2077" t="str">
        <f>T("   551644")</f>
        <v xml:space="preserve">   551644</v>
      </c>
      <c r="B2077" t="str">
        <f>T("   Tissus, imprimés, de fibres artificielles discontinues, contenant en prédominance, mais &lt; 85% en poids de ces fibres, mélangés principalement ou uniquement avec du coton")</f>
        <v xml:space="preserve">   Tissus, imprimés, de fibres artificielles discontinues, contenant en prédominance, mais &lt; 85% en poids de ces fibres, mélangés principalement ou uniquement avec du coton</v>
      </c>
      <c r="C2077">
        <v>20000000</v>
      </c>
      <c r="D2077">
        <v>19035</v>
      </c>
    </row>
    <row r="2078" spans="1:4" x14ac:dyDescent="0.25">
      <c r="A2078" t="str">
        <f>T("   560110")</f>
        <v xml:space="preserve">   560110</v>
      </c>
      <c r="B2078" t="str">
        <f>T("   Serviettes et tampons hygiéniques, couches pour bébés et articles hygiéniques simil., en ouates")</f>
        <v xml:space="preserve">   Serviettes et tampons hygiéniques, couches pour bébés et articles hygiéniques simil., en ouates</v>
      </c>
      <c r="C2078">
        <v>40611458</v>
      </c>
      <c r="D2078">
        <v>85176</v>
      </c>
    </row>
    <row r="2079" spans="1:4" x14ac:dyDescent="0.25">
      <c r="A2079" t="str">
        <f>T("   560121")</f>
        <v xml:space="preserve">   560121</v>
      </c>
      <c r="B2079" t="s">
        <v>241</v>
      </c>
      <c r="C2079">
        <v>6117000</v>
      </c>
      <c r="D2079">
        <v>26000</v>
      </c>
    </row>
    <row r="2080" spans="1:4" x14ac:dyDescent="0.25">
      <c r="A2080" t="str">
        <f>T("   560129")</f>
        <v xml:space="preserve">   560129</v>
      </c>
      <c r="B2080" t="s">
        <v>242</v>
      </c>
      <c r="C2080">
        <v>606392</v>
      </c>
      <c r="D2080">
        <v>773</v>
      </c>
    </row>
    <row r="2081" spans="1:4" x14ac:dyDescent="0.25">
      <c r="A2081" t="str">
        <f>T("   560311")</f>
        <v xml:space="preserve">   560311</v>
      </c>
      <c r="B2081" t="str">
        <f>T("   Nontissés, même imprégnés, enduits, recouverts ou stratifiés, n.d.a., de filaments synthétiques ou artificiels, d'un poids &lt;= 25 g/m²")</f>
        <v xml:space="preserve">   Nontissés, même imprégnés, enduits, recouverts ou stratifiés, n.d.a., de filaments synthétiques ou artificiels, d'un poids &lt;= 25 g/m²</v>
      </c>
      <c r="C2081">
        <v>1081893</v>
      </c>
      <c r="D2081">
        <v>1113</v>
      </c>
    </row>
    <row r="2082" spans="1:4" x14ac:dyDescent="0.25">
      <c r="A2082" t="str">
        <f>T("   560500")</f>
        <v xml:space="preserve">   560500</v>
      </c>
      <c r="B2082" t="s">
        <v>243</v>
      </c>
      <c r="C2082">
        <v>157227</v>
      </c>
      <c r="D2082">
        <v>2250</v>
      </c>
    </row>
    <row r="2083" spans="1:4" x14ac:dyDescent="0.25">
      <c r="A2083" t="str">
        <f>T("   560749")</f>
        <v xml:space="preserve">   560749</v>
      </c>
      <c r="B2083" t="str">
        <f>T("   Ficelles, cordes et cordages, de polyéthylène ou de polypropylène, tressés ou non, même imprégnés, enduits, recouverts ou gainés de caoutchouc ou de matière plastique (à l'excl. les ficelles lieuses ou botteleuses)")</f>
        <v xml:space="preserve">   Ficelles, cordes et cordages, de polyéthylène ou de polypropylène, tressés ou non, même imprégnés, enduits, recouverts ou gainés de caoutchouc ou de matière plastique (à l'excl. les ficelles lieuses ou botteleuses)</v>
      </c>
      <c r="C2083">
        <v>18860437</v>
      </c>
      <c r="D2083">
        <v>43818</v>
      </c>
    </row>
    <row r="2084" spans="1:4" x14ac:dyDescent="0.25">
      <c r="A2084" t="str">
        <f>T("   560790")</f>
        <v xml:space="preserve">   560790</v>
      </c>
      <c r="B2084" t="str">
        <f>T("   FICELLES, CORDES ET CORDAGES, TRESSÉS OU NON, MÊME IMPRÉGNÉS, ENDUITS, RECOUVERTS OU GAINÉS DE CAOUTCHOUC OU DE MATIÈRE PLASTIQUE (À L'EXCL. DES PRODUITS DE FIBRES SYNTHÉTIQUES AINSI QUE DE SISAL OU D'AUTRES FIBRES TEXTILES DU GENRE 'AGAVE')")</f>
        <v xml:space="preserve">   FICELLES, CORDES ET CORDAGES, TRESSÉS OU NON, MÊME IMPRÉGNÉS, ENDUITS, RECOUVERTS OU GAINÉS DE CAOUTCHOUC OU DE MATIÈRE PLASTIQUE (À L'EXCL. DES PRODUITS DE FIBRES SYNTHÉTIQUES AINSI QUE DE SISAL OU D'AUTRES FIBRES TEXTILES DU GENRE 'AGAVE')</v>
      </c>
      <c r="C2084">
        <v>450000</v>
      </c>
      <c r="D2084">
        <v>1550</v>
      </c>
    </row>
    <row r="2085" spans="1:4" x14ac:dyDescent="0.25">
      <c r="A2085" t="str">
        <f>T("   560811")</f>
        <v xml:space="preserve">   560811</v>
      </c>
      <c r="B2085" t="str">
        <f>T("   Filets confectionnés pour la pêche, à mailles nouées, en matières textiles synthétiques ou artificielles (à l'excl. des épuisettes)")</f>
        <v xml:space="preserve">   Filets confectionnés pour la pêche, à mailles nouées, en matières textiles synthétiques ou artificielles (à l'excl. des épuisettes)</v>
      </c>
      <c r="C2085">
        <v>20954343</v>
      </c>
      <c r="D2085">
        <v>128281</v>
      </c>
    </row>
    <row r="2086" spans="1:4" x14ac:dyDescent="0.25">
      <c r="A2086" t="str">
        <f>T("   560819")</f>
        <v xml:space="preserve">   560819</v>
      </c>
      <c r="B2086" t="s">
        <v>244</v>
      </c>
      <c r="C2086">
        <v>3600000</v>
      </c>
      <c r="D2086">
        <v>46290</v>
      </c>
    </row>
    <row r="2087" spans="1:4" x14ac:dyDescent="0.25">
      <c r="A2087" t="str">
        <f>T("   560890")</f>
        <v xml:space="preserve">   560890</v>
      </c>
      <c r="B2087" t="s">
        <v>245</v>
      </c>
      <c r="C2087">
        <v>106571</v>
      </c>
      <c r="D2087">
        <v>200</v>
      </c>
    </row>
    <row r="2088" spans="1:4" x14ac:dyDescent="0.25">
      <c r="A2088" t="str">
        <f>T("   560900")</f>
        <v xml:space="preserve">   560900</v>
      </c>
      <c r="B2088" t="str">
        <f>T("   Articles en fils, lames ou formes simil. du n° 5404 ou 5405, ficelles, cordes ou cordages du n° 5607, n.d.a.")</f>
        <v xml:space="preserve">   Articles en fils, lames ou formes simil. du n° 5404 ou 5405, ficelles, cordes ou cordages du n° 5607, n.d.a.</v>
      </c>
      <c r="C2088">
        <v>21000324</v>
      </c>
      <c r="D2088">
        <v>32042</v>
      </c>
    </row>
    <row r="2089" spans="1:4" x14ac:dyDescent="0.25">
      <c r="A2089" t="str">
        <f>T("   570190")</f>
        <v xml:space="preserve">   570190</v>
      </c>
      <c r="B2089" t="str">
        <f>T("   Tapis en matières textiles, à points noués ou enroulés, même confectionnés (à l'excl. des tapis de laine ou de poils fins)")</f>
        <v xml:space="preserve">   Tapis en matières textiles, à points noués ou enroulés, même confectionnés (à l'excl. des tapis de laine ou de poils fins)</v>
      </c>
      <c r="C2089">
        <v>2969573</v>
      </c>
      <c r="D2089">
        <v>1735</v>
      </c>
    </row>
    <row r="2090" spans="1:4" x14ac:dyDescent="0.25">
      <c r="A2090" t="str">
        <f>T("   570239")</f>
        <v xml:space="preserve">   570239</v>
      </c>
      <c r="B2090" t="s">
        <v>246</v>
      </c>
      <c r="C2090">
        <v>257786</v>
      </c>
      <c r="D2090">
        <v>636</v>
      </c>
    </row>
    <row r="2091" spans="1:4" x14ac:dyDescent="0.25">
      <c r="A2091" t="str">
        <f>T("   570249")</f>
        <v xml:space="preserve">   570249</v>
      </c>
      <c r="B2091" t="s">
        <v>247</v>
      </c>
      <c r="C2091">
        <v>66607</v>
      </c>
      <c r="D2091">
        <v>284</v>
      </c>
    </row>
    <row r="2092" spans="1:4" x14ac:dyDescent="0.25">
      <c r="A2092" t="str">
        <f>T("   570320")</f>
        <v xml:space="preserve">   570320</v>
      </c>
      <c r="B2092" t="str">
        <f>T("   Tapis et autres revêtements de sol, de nylon ou d'autres polyamides, touffetés, même confectionnés")</f>
        <v xml:space="preserve">   Tapis et autres revêtements de sol, de nylon ou d'autres polyamides, touffetés, même confectionnés</v>
      </c>
      <c r="C2092">
        <v>109300</v>
      </c>
      <c r="D2092">
        <v>875</v>
      </c>
    </row>
    <row r="2093" spans="1:4" x14ac:dyDescent="0.25">
      <c r="A2093" t="str">
        <f>T("   570330")</f>
        <v xml:space="preserve">   570330</v>
      </c>
      <c r="B2093" t="str">
        <f>T("   Tapis et autres revêtements de sol, de matières textiles synthétiques ou artificielles, touffetés, même confectionnés (à l'excl. des articles en nylon ou en autres polyamides)")</f>
        <v xml:space="preserve">   Tapis et autres revêtements de sol, de matières textiles synthétiques ou artificielles, touffetés, même confectionnés (à l'excl. des articles en nylon ou en autres polyamides)</v>
      </c>
      <c r="C2093">
        <v>529203</v>
      </c>
      <c r="D2093">
        <v>907</v>
      </c>
    </row>
    <row r="2094" spans="1:4" x14ac:dyDescent="0.25">
      <c r="A2094" t="str">
        <f>T("   570410")</f>
        <v xml:space="preserve">   570410</v>
      </c>
      <c r="B2094" t="str">
        <f>T("   CARREAUX, EN FEUTRE, NON TOUFFETÉS NI FLOQUÉS, D'UNE SUPERFICIE &lt;= 0,3 M¦")</f>
        <v xml:space="preserve">   CARREAUX, EN FEUTRE, NON TOUFFETÉS NI FLOQUÉS, D'UNE SUPERFICIE &lt;= 0,3 M¦</v>
      </c>
      <c r="C2094">
        <v>25157731</v>
      </c>
      <c r="D2094">
        <v>146062</v>
      </c>
    </row>
    <row r="2095" spans="1:4" x14ac:dyDescent="0.25">
      <c r="A2095" t="str">
        <f>T("   570490")</f>
        <v xml:space="preserve">   570490</v>
      </c>
      <c r="B2095" t="str">
        <f>T("   TAPIS ET AUTRES REVÊTEMENTS DE SOL, EN FEUTRE, NON TOUFFETÉS NI FLOQUÉS, MÊME CONFECTIONNÉS (À L'EXCL. DES CARREAUX D'UNE SUPERFICIE &lt;= 0,3 M¦)")</f>
        <v xml:space="preserve">   TAPIS ET AUTRES REVÊTEMENTS DE SOL, EN FEUTRE, NON TOUFFETÉS NI FLOQUÉS, MÊME CONFECTIONNÉS (À L'EXCL. DES CARREAUX D'UNE SUPERFICIE &lt;= 0,3 M¦)</v>
      </c>
      <c r="C2095">
        <v>18113629</v>
      </c>
      <c r="D2095">
        <v>52346</v>
      </c>
    </row>
    <row r="2096" spans="1:4" x14ac:dyDescent="0.25">
      <c r="A2096" t="str">
        <f>T("   570500")</f>
        <v xml:space="preserve">   570500</v>
      </c>
      <c r="B2096" t="str">
        <f>T("   Tapis et autres revêtements de sol en matières textiles, même confectionnés (à l'excl. à points noués ou enroulés, tissés, touffetés ou en feutre)")</f>
        <v xml:space="preserve">   Tapis et autres revêtements de sol en matières textiles, même confectionnés (à l'excl. à points noués ou enroulés, tissés, touffetés ou en feutre)</v>
      </c>
      <c r="C2096">
        <v>25779880</v>
      </c>
      <c r="D2096">
        <v>45699</v>
      </c>
    </row>
    <row r="2097" spans="1:4" x14ac:dyDescent="0.25">
      <c r="A2097" t="str">
        <f>T("   580133")</f>
        <v xml:space="preserve">   580133</v>
      </c>
      <c r="B2097" t="str">
        <f>T("   Velours et peluches par la trame, coupés, de fibres synthétiques ou artificielles (à l'excl. des tissus bouclés du genre éponge, des surfaces textiles touffetées ainsi que des articles de rubanerie du n° 5806)")</f>
        <v xml:space="preserve">   Velours et peluches par la trame, coupés, de fibres synthétiques ou artificielles (à l'excl. des tissus bouclés du genre éponge, des surfaces textiles touffetées ainsi que des articles de rubanerie du n° 5806)</v>
      </c>
      <c r="C2097">
        <v>1049726</v>
      </c>
      <c r="D2097">
        <v>1233</v>
      </c>
    </row>
    <row r="2098" spans="1:4" x14ac:dyDescent="0.25">
      <c r="A2098" t="str">
        <f>T("   580190")</f>
        <v xml:space="preserve">   580190</v>
      </c>
      <c r="B2098" t="str">
        <f>T("   Velours et peluches tissés et tissus de chenille (à l'excl. des tissus bouclés du genre éponge, des surfaces textiles touffetées, des articles de rubanerie du n° 5806 et des articles de laine, de poils fins ou de fibres synthétiques ou artificielles)")</f>
        <v xml:space="preserve">   Velours et peluches tissés et tissus de chenille (à l'excl. des tissus bouclés du genre éponge, des surfaces textiles touffetées, des articles de rubanerie du n° 5806 et des articles de laine, de poils fins ou de fibres synthétiques ou artificielles)</v>
      </c>
      <c r="C2098">
        <v>4698206</v>
      </c>
      <c r="D2098">
        <v>3479</v>
      </c>
    </row>
    <row r="2099" spans="1:4" x14ac:dyDescent="0.25">
      <c r="A2099" t="str">
        <f>T("   580219")</f>
        <v xml:space="preserve">   580219</v>
      </c>
      <c r="B2099" t="str">
        <f>T("   Tissus bouclés du genre éponge, en coton (à l'excl. des tissus écrus, des articles de rubanerie du n° 5806 ainsi que des tapis et autres revêtements de sol du n° 5703)")</f>
        <v xml:space="preserve">   Tissus bouclés du genre éponge, en coton (à l'excl. des tissus écrus, des articles de rubanerie du n° 5806 ainsi que des tapis et autres revêtements de sol du n° 5703)</v>
      </c>
      <c r="C2099">
        <v>8730000</v>
      </c>
      <c r="D2099">
        <v>14260</v>
      </c>
    </row>
    <row r="2100" spans="1:4" x14ac:dyDescent="0.25">
      <c r="A2100" t="str">
        <f>T("   580390")</f>
        <v xml:space="preserve">   580390</v>
      </c>
      <c r="B2100" t="str">
        <f>T("   Tissus à point de gaze (à l'excl. des tissus en coton ainsi que des articles de rubanerie du n° 5806)")</f>
        <v xml:space="preserve">   Tissus à point de gaze (à l'excl. des tissus en coton ainsi que des articles de rubanerie du n° 5806)</v>
      </c>
      <c r="C2100">
        <v>34000000</v>
      </c>
      <c r="D2100">
        <v>41500</v>
      </c>
    </row>
    <row r="2101" spans="1:4" x14ac:dyDescent="0.25">
      <c r="A2101" t="str">
        <f>T("   580421")</f>
        <v xml:space="preserve">   580421</v>
      </c>
      <c r="B2101" t="str">
        <f>T("   Dentelles à la mécanique, de fibres synthétiques ou artificielles, en pièces, en bandes ou en motifs (à l'excl. des produits du n° 6002 à 6006)")</f>
        <v xml:space="preserve">   Dentelles à la mécanique, de fibres synthétiques ou artificielles, en pièces, en bandes ou en motifs (à l'excl. des produits du n° 6002 à 6006)</v>
      </c>
      <c r="C2101">
        <v>15566250</v>
      </c>
      <c r="D2101">
        <v>56800</v>
      </c>
    </row>
    <row r="2102" spans="1:4" x14ac:dyDescent="0.25">
      <c r="A2102" t="str">
        <f>T("   580429")</f>
        <v xml:space="preserve">   580429</v>
      </c>
      <c r="B2102" t="str">
        <f>T("   Dentelles à la mécanique, en pièces, en bandes ou en motifs (à l'excl. des articles de fibres synthétiques ou artificielles ainsi que des produits du n° 6002 à 6006)")</f>
        <v xml:space="preserve">   Dentelles à la mécanique, en pièces, en bandes ou en motifs (à l'excl. des articles de fibres synthétiques ou artificielles ainsi que des produits du n° 6002 à 6006)</v>
      </c>
      <c r="C2102">
        <v>2645000</v>
      </c>
      <c r="D2102">
        <v>3400</v>
      </c>
    </row>
    <row r="2103" spans="1:4" x14ac:dyDescent="0.25">
      <c r="A2103" t="str">
        <f>T("   580632")</f>
        <v xml:space="preserve">   580632</v>
      </c>
      <c r="B2103" t="str">
        <f>T("   RUBANERIE, TISSÉE, DE FIBRES SYNTHÉTIQUES OU ARTIFICIELLES, D'UNE LARGEUR &lt;= 30 CM, N.D.A.")</f>
        <v xml:space="preserve">   RUBANERIE, TISSÉE, DE FIBRES SYNTHÉTIQUES OU ARTIFICIELLES, D'UNE LARGEUR &lt;= 30 CM, N.D.A.</v>
      </c>
      <c r="C2103">
        <v>1692226</v>
      </c>
      <c r="D2103">
        <v>4006</v>
      </c>
    </row>
    <row r="2104" spans="1:4" x14ac:dyDescent="0.25">
      <c r="A2104" t="str">
        <f>T("   580639")</f>
        <v xml:space="preserve">   580639</v>
      </c>
      <c r="B2104" t="str">
        <f>T("   Rubanerie, tissée, en matières textiles, n.d.a. (à l'excl. des articles de coton ou de fibres synthétiques ou artificielles)")</f>
        <v xml:space="preserve">   Rubanerie, tissée, en matières textiles, n.d.a. (à l'excl. des articles de coton ou de fibres synthétiques ou artificielles)</v>
      </c>
      <c r="C2104">
        <v>10319291</v>
      </c>
      <c r="D2104">
        <v>20145</v>
      </c>
    </row>
    <row r="2105" spans="1:4" x14ac:dyDescent="0.25">
      <c r="A2105" t="str">
        <f>T("   580890")</f>
        <v xml:space="preserve">   580890</v>
      </c>
      <c r="B2105" t="s">
        <v>250</v>
      </c>
      <c r="C2105">
        <v>813302</v>
      </c>
      <c r="D2105">
        <v>8360</v>
      </c>
    </row>
    <row r="2106" spans="1:4" x14ac:dyDescent="0.25">
      <c r="A2106" t="str">
        <f>T("   581010")</f>
        <v xml:space="preserve">   581010</v>
      </c>
      <c r="B2106" t="str">
        <f>T("   Broderies chimiques ou aériennes, sur support de matières textiles, et broderies à fond découpé, en pièces, en bandes ou en motifs")</f>
        <v xml:space="preserve">   Broderies chimiques ou aériennes, sur support de matières textiles, et broderies à fond découpé, en pièces, en bandes ou en motifs</v>
      </c>
      <c r="C2106">
        <v>143000</v>
      </c>
      <c r="D2106">
        <v>100</v>
      </c>
    </row>
    <row r="2107" spans="1:4" x14ac:dyDescent="0.25">
      <c r="A2107" t="str">
        <f>T("   581099")</f>
        <v xml:space="preserve">   581099</v>
      </c>
      <c r="B2107" t="str">
        <f>T("   Broderies de matières textiles, sur support de matières textiles, en pièces, en bandes ou en motifs (à l'excl. des broderies en coton ou en fibres synthétiques ou artificielles, des broderies chimiques ou aériennes et des broderies à fond découpé)")</f>
        <v xml:space="preserve">   Broderies de matières textiles, sur support de matières textiles, en pièces, en bandes ou en motifs (à l'excl. des broderies en coton ou en fibres synthétiques ou artificielles, des broderies chimiques ou aériennes et des broderies à fond découpé)</v>
      </c>
      <c r="C2107">
        <v>231812464</v>
      </c>
      <c r="D2107">
        <v>394584</v>
      </c>
    </row>
    <row r="2108" spans="1:4" x14ac:dyDescent="0.25">
      <c r="A2108" t="str">
        <f>T("   590110")</f>
        <v xml:space="preserve">   590110</v>
      </c>
      <c r="B2108" t="str">
        <f>T("   Tissus enduits de colle ou de matières amylacées, des types utilisés pour la reliure, le cartonnage, la gainerie ou usages simil.")</f>
        <v xml:space="preserve">   Tissus enduits de colle ou de matières amylacées, des types utilisés pour la reliure, le cartonnage, la gainerie ou usages simil.</v>
      </c>
      <c r="C2108">
        <v>15184699</v>
      </c>
      <c r="D2108">
        <v>34599</v>
      </c>
    </row>
    <row r="2109" spans="1:4" x14ac:dyDescent="0.25">
      <c r="A2109" t="str">
        <f>T("   590310")</f>
        <v xml:space="preserve">   590310</v>
      </c>
      <c r="B2109" t="s">
        <v>252</v>
      </c>
      <c r="C2109">
        <v>5803206</v>
      </c>
      <c r="D2109">
        <v>6818</v>
      </c>
    </row>
    <row r="2110" spans="1:4" x14ac:dyDescent="0.25">
      <c r="A2110" t="str">
        <f>T("   590390")</f>
        <v xml:space="preserve">   590390</v>
      </c>
      <c r="B2110" t="s">
        <v>253</v>
      </c>
      <c r="C2110">
        <v>300000</v>
      </c>
      <c r="D2110">
        <v>225</v>
      </c>
    </row>
    <row r="2111" spans="1:4" x14ac:dyDescent="0.25">
      <c r="A2111" t="str">
        <f>T("   590610")</f>
        <v xml:space="preserve">   590610</v>
      </c>
      <c r="B2111" t="str">
        <f>T("   Rubans adhésifs en tissus caoutchoutés, d'une largeur &lt;= 20 cm (à l'excl. des rubans adhésifs imprégnés ou recouverts de substances pharmaceutiques ou conditionnés pour la vente au détail à des fins médicales, chirurgicales, dentaires ou vétérinaires)")</f>
        <v xml:space="preserve">   Rubans adhésifs en tissus caoutchoutés, d'une largeur &lt;= 20 cm (à l'excl. des rubans adhésifs imprégnés ou recouverts de substances pharmaceutiques ou conditionnés pour la vente au détail à des fins médicales, chirurgicales, dentaires ou vétérinaires)</v>
      </c>
      <c r="C2111">
        <v>25520547</v>
      </c>
      <c r="D2111">
        <v>20737</v>
      </c>
    </row>
    <row r="2112" spans="1:4" x14ac:dyDescent="0.25">
      <c r="A2112" t="str">
        <f>T("   590699")</f>
        <v xml:space="preserve">   590699</v>
      </c>
      <c r="B2112" t="s">
        <v>254</v>
      </c>
      <c r="C2112">
        <v>16676179</v>
      </c>
      <c r="D2112">
        <v>27755</v>
      </c>
    </row>
    <row r="2113" spans="1:4" x14ac:dyDescent="0.25">
      <c r="A2113" t="str">
        <f>T("   590700")</f>
        <v xml:space="preserve">   590700</v>
      </c>
      <c r="B2113" t="str">
        <f>T("   Tissus imprégnés, enduits ou recouverts, n.d.a.; toiles peintes pour décors de théâtres, fonds d'atelier ou usages analogues")</f>
        <v xml:space="preserve">   Tissus imprégnés, enduits ou recouverts, n.d.a.; toiles peintes pour décors de théâtres, fonds d'atelier ou usages analogues</v>
      </c>
      <c r="C2113">
        <v>40001096</v>
      </c>
      <c r="D2113">
        <v>38200</v>
      </c>
    </row>
    <row r="2114" spans="1:4" x14ac:dyDescent="0.25">
      <c r="A2114" t="str">
        <f>T("   600240")</f>
        <v xml:space="preserve">   600240</v>
      </c>
      <c r="B2114" t="s">
        <v>258</v>
      </c>
      <c r="C2114">
        <v>536393</v>
      </c>
      <c r="D2114">
        <v>436</v>
      </c>
    </row>
    <row r="2115" spans="1:4" x14ac:dyDescent="0.25">
      <c r="A2115" t="str">
        <f>T("   610319")</f>
        <v xml:space="preserve">   610319</v>
      </c>
      <c r="B2115" t="str">
        <f>T("   Costumes ou complets en bonneterie, de matières textiles, pour hommes ou garçonnets (sauf de laine, poils fins ou fibres synthétiques et sauf survêtements de sport 'trainings', combinaisons et ensembles de ski, maillots, culottes et slips de bain)")</f>
        <v xml:space="preserve">   Costumes ou complets en bonneterie, de matières textiles, pour hommes ou garçonnets (sauf de laine, poils fins ou fibres synthétiques et sauf survêtements de sport 'trainings', combinaisons et ensembles de ski, maillots, culottes et slips de bain)</v>
      </c>
      <c r="C2115">
        <v>1322549</v>
      </c>
      <c r="D2115">
        <v>2000</v>
      </c>
    </row>
    <row r="2116" spans="1:4" x14ac:dyDescent="0.25">
      <c r="A2116" t="str">
        <f>T("   610322")</f>
        <v xml:space="preserve">   610322</v>
      </c>
      <c r="B2116" t="str">
        <f>T("   Ensembles en bonneterie, de coton, pour hommes ou garçonnets (sauf ensembles de ski, maillots, culottes et slips de bain)")</f>
        <v xml:space="preserve">   Ensembles en bonneterie, de coton, pour hommes ou garçonnets (sauf ensembles de ski, maillots, culottes et slips de bain)</v>
      </c>
      <c r="C2116">
        <v>201887</v>
      </c>
      <c r="D2116">
        <v>804</v>
      </c>
    </row>
    <row r="2117" spans="1:4" x14ac:dyDescent="0.25">
      <c r="A2117" t="str">
        <f>T("   610342")</f>
        <v xml:space="preserve">   610342</v>
      </c>
      <c r="B2117" t="str">
        <f>T("   PANTALONS, Y.C. KNICKERS ET PANTALONS SIMIL., SALOPETTES À BRETELLES, CULOTTES ET SHORTS, EN BONNETERIE, DE COTON, POUR HOMMES OU GARÇONNETS (SAUF CALETHONS ET SLIPS DE BAIN)")</f>
        <v xml:space="preserve">   PANTALONS, Y.C. KNICKERS ET PANTALONS SIMIL., SALOPETTES À BRETELLES, CULOTTES ET SHORTS, EN BONNETERIE, DE COTON, POUR HOMMES OU GARÇONNETS (SAUF CALETHONS ET SLIPS DE BAIN)</v>
      </c>
      <c r="C2117">
        <v>6553040</v>
      </c>
      <c r="D2117">
        <v>12000</v>
      </c>
    </row>
    <row r="2118" spans="1:4" x14ac:dyDescent="0.25">
      <c r="A2118" t="str">
        <f>T("   610349")</f>
        <v xml:space="preserve">   610349</v>
      </c>
      <c r="B2118" t="str">
        <f>T("   PANTALONS, Y.C. KNICKERS ET PANTALONS SIMIL., SALOPETTES À BRETELLES, CULOTTES ET SHORTS, EN BONNETERIE, DE MATIÈRES TEXTILES, POUR HOMMES OU GARÇONNETS (SAUF DE LAINE, POILS FINS, COTON OU FIBRES SYNTHÉTIQUES ET SAUF CALETHONS ET SLIPS DE BAIN)")</f>
        <v xml:space="preserve">   PANTALONS, Y.C. KNICKERS ET PANTALONS SIMIL., SALOPETTES À BRETELLES, CULOTTES ET SHORTS, EN BONNETERIE, DE MATIÈRES TEXTILES, POUR HOMMES OU GARÇONNETS (SAUF DE LAINE, POILS FINS, COTON OU FIBRES SYNTHÉTIQUES ET SAUF CALETHONS ET SLIPS DE BAIN)</v>
      </c>
      <c r="C2118">
        <v>45882642</v>
      </c>
      <c r="D2118">
        <v>84000</v>
      </c>
    </row>
    <row r="2119" spans="1:4" x14ac:dyDescent="0.25">
      <c r="A2119" t="str">
        <f>T("   610462")</f>
        <v xml:space="preserve">   610462</v>
      </c>
      <c r="B2119" t="str">
        <f>T("   PANTALONS, Y.C. KNICKERS ET PANTALONS SIMIL., ET CULOTTES, SALOPETTES À BRETELLES ET SHORTS, EN BONNETERIE, DE COTON, POUR FEMMES OU FILLETTES (SAUF SLIPS ET CULOTTES ET MAILLOTS, CULOTTES ET SLIPS DE BAIN)")</f>
        <v xml:space="preserve">   PANTALONS, Y.C. KNICKERS ET PANTALONS SIMIL., ET CULOTTES, SALOPETTES À BRETELLES ET SHORTS, EN BONNETERIE, DE COTON, POUR FEMMES OU FILLETTES (SAUF SLIPS ET CULOTTES ET MAILLOTS, CULOTTES ET SLIPS DE BAIN)</v>
      </c>
      <c r="C2119">
        <v>13097600</v>
      </c>
      <c r="D2119">
        <v>24000</v>
      </c>
    </row>
    <row r="2120" spans="1:4" x14ac:dyDescent="0.25">
      <c r="A2120" t="str">
        <f>T("   610469")</f>
        <v xml:space="preserve">   610469</v>
      </c>
      <c r="B2120" t="s">
        <v>261</v>
      </c>
      <c r="C2120">
        <v>78655376</v>
      </c>
      <c r="D2120">
        <v>137000</v>
      </c>
    </row>
    <row r="2121" spans="1:4" x14ac:dyDescent="0.25">
      <c r="A2121" t="str">
        <f>T("   610510")</f>
        <v xml:space="preserve">   610510</v>
      </c>
      <c r="B2121" t="str">
        <f>T("   Chemises et chemisettes, en bonneterie, de coton, pour hommes ou garçonnets (sauf chemises de nuit, T-shirts et maillots de corps)")</f>
        <v xml:space="preserve">   Chemises et chemisettes, en bonneterie, de coton, pour hommes ou garçonnets (sauf chemises de nuit, T-shirts et maillots de corps)</v>
      </c>
      <c r="C2121">
        <v>16080614</v>
      </c>
      <c r="D2121">
        <v>32168</v>
      </c>
    </row>
    <row r="2122" spans="1:4" x14ac:dyDescent="0.25">
      <c r="A2122" t="str">
        <f>T("   610520")</f>
        <v xml:space="preserve">   610520</v>
      </c>
      <c r="B2122" t="str">
        <f>T("   Chemises et chemisettes, en bonneterie, de fibres synthétiques ou artificielles, pour hommes ou garçonnets (sauf chemises de nuit, T-shirts et maillots de corps)")</f>
        <v xml:space="preserve">   Chemises et chemisettes, en bonneterie, de fibres synthétiques ou artificielles, pour hommes ou garçonnets (sauf chemises de nuit, T-shirts et maillots de corps)</v>
      </c>
      <c r="C2122">
        <v>13466251</v>
      </c>
      <c r="D2122">
        <v>21128</v>
      </c>
    </row>
    <row r="2123" spans="1:4" x14ac:dyDescent="0.25">
      <c r="A2123" t="str">
        <f>T("   610590")</f>
        <v xml:space="preserve">   610590</v>
      </c>
      <c r="B2123" t="str">
        <f>T("   Chemises et chemisettes, en bonneterie, de matières textiles, pour hommes ou garçonnets (sauf de coton, fibres synthétiques ou artificielles et sauf chemises de nuit, T-shirts et maillots de corps)")</f>
        <v xml:space="preserve">   Chemises et chemisettes, en bonneterie, de matières textiles, pour hommes ou garçonnets (sauf de coton, fibres synthétiques ou artificielles et sauf chemises de nuit, T-shirts et maillots de corps)</v>
      </c>
      <c r="C2123">
        <v>57437080</v>
      </c>
      <c r="D2123">
        <v>90903</v>
      </c>
    </row>
    <row r="2124" spans="1:4" x14ac:dyDescent="0.25">
      <c r="A2124" t="str">
        <f>T("   610711")</f>
        <v xml:space="preserve">   610711</v>
      </c>
      <c r="B2124" t="str">
        <f>T("   SLIPS ET CALETHONS, EN BONNETERIE, DE COTON, POUR HOMMES OU GARÇONNETS")</f>
        <v xml:space="preserve">   SLIPS ET CALETHONS, EN BONNETERIE, DE COTON, POUR HOMMES OU GARÇONNETS</v>
      </c>
      <c r="C2124">
        <v>6543128</v>
      </c>
      <c r="D2124">
        <v>11000</v>
      </c>
    </row>
    <row r="2125" spans="1:4" x14ac:dyDescent="0.25">
      <c r="A2125" t="str">
        <f>T("   610799")</f>
        <v xml:space="preserve">   610799</v>
      </c>
      <c r="B2125" t="str">
        <f>T("   Peignoirs de bain, robes de chambre et articles simil., en bonneterie, de matières textiles, pour hommes ou garçonnets (sauf de coton ou fibres synthétiques ou artificielles)")</f>
        <v xml:space="preserve">   Peignoirs de bain, robes de chambre et articles simil., en bonneterie, de matières textiles, pour hommes ou garçonnets (sauf de coton ou fibres synthétiques ou artificielles)</v>
      </c>
      <c r="C2125">
        <v>3660000</v>
      </c>
      <c r="D2125">
        <v>970</v>
      </c>
    </row>
    <row r="2126" spans="1:4" x14ac:dyDescent="0.25">
      <c r="A2126" t="str">
        <f>T("   610819")</f>
        <v xml:space="preserve">   610819</v>
      </c>
      <c r="B2126" t="str">
        <f>T("   Combinaisons ou fonds de robes et jupons, en bonneterie, de matières textiles, pour femmes ou fillettes (sauf de fibres synthétiques ou artificielles et sauf T-shirts et gilets de corps)")</f>
        <v xml:space="preserve">   Combinaisons ou fonds de robes et jupons, en bonneterie, de matières textiles, pour femmes ou fillettes (sauf de fibres synthétiques ou artificielles et sauf T-shirts et gilets de corps)</v>
      </c>
      <c r="C2126">
        <v>13978451</v>
      </c>
      <c r="D2126">
        <v>13340</v>
      </c>
    </row>
    <row r="2127" spans="1:4" x14ac:dyDescent="0.25">
      <c r="A2127" t="str">
        <f>T("   610821")</f>
        <v xml:space="preserve">   610821</v>
      </c>
      <c r="B2127" t="str">
        <f>T("   Slips et culottes, en bonneterie, de coton, pour femmes ou fillettes")</f>
        <v xml:space="preserve">   Slips et culottes, en bonneterie, de coton, pour femmes ou fillettes</v>
      </c>
      <c r="C2127">
        <v>13100000</v>
      </c>
      <c r="D2127">
        <v>22000</v>
      </c>
    </row>
    <row r="2128" spans="1:4" x14ac:dyDescent="0.25">
      <c r="A2128" t="str">
        <f>T("   610829")</f>
        <v xml:space="preserve">   610829</v>
      </c>
      <c r="B2128" t="str">
        <f>T("   Slips et culottes, en bonneterie, de matières textiles, pour femmes ou fillettes (sauf de coton ou fibres synthétiques ou artificielles)")</f>
        <v xml:space="preserve">   Slips et culottes, en bonneterie, de matières textiles, pour femmes ou fillettes (sauf de coton ou fibres synthétiques ou artificielles)</v>
      </c>
      <c r="C2128">
        <v>5300000</v>
      </c>
      <c r="D2128">
        <v>6400</v>
      </c>
    </row>
    <row r="2129" spans="1:4" x14ac:dyDescent="0.25">
      <c r="A2129" t="str">
        <f>T("   610899")</f>
        <v xml:space="preserve">   610899</v>
      </c>
      <c r="B2129" t="s">
        <v>262</v>
      </c>
      <c r="C2129">
        <v>5000000</v>
      </c>
      <c r="D2129">
        <v>5000</v>
      </c>
    </row>
    <row r="2130" spans="1:4" x14ac:dyDescent="0.25">
      <c r="A2130" t="str">
        <f>T("   610910")</f>
        <v xml:space="preserve">   610910</v>
      </c>
      <c r="B2130" t="str">
        <f>T("   T-shirts et maillots de corps, en bonneterie, de coton,")</f>
        <v xml:space="preserve">   T-shirts et maillots de corps, en bonneterie, de coton,</v>
      </c>
      <c r="C2130">
        <v>58737060</v>
      </c>
      <c r="D2130">
        <v>104940</v>
      </c>
    </row>
    <row r="2131" spans="1:4" x14ac:dyDescent="0.25">
      <c r="A2131" t="str">
        <f>T("   610990")</f>
        <v xml:space="preserve">   610990</v>
      </c>
      <c r="B2131" t="str">
        <f>T("   T-shirts et maillots de corps, en bonneterie, de matières textiles (sauf de coton)")</f>
        <v xml:space="preserve">   T-shirts et maillots de corps, en bonneterie, de matières textiles (sauf de coton)</v>
      </c>
      <c r="C2131">
        <v>228667650</v>
      </c>
      <c r="D2131">
        <v>621567.5</v>
      </c>
    </row>
    <row r="2132" spans="1:4" x14ac:dyDescent="0.25">
      <c r="A2132" t="str">
        <f>T("   611130")</f>
        <v xml:space="preserve">   611130</v>
      </c>
      <c r="B2132" t="str">
        <f>T("   Vêtements et accessoires du vêtement, en bonneterie, de fibres synthétiques, pour bébés (sauf bonnets)")</f>
        <v xml:space="preserve">   Vêtements et accessoires du vêtement, en bonneterie, de fibres synthétiques, pour bébés (sauf bonnets)</v>
      </c>
      <c r="C2132">
        <v>243510</v>
      </c>
      <c r="D2132">
        <v>327</v>
      </c>
    </row>
    <row r="2133" spans="1:4" x14ac:dyDescent="0.25">
      <c r="A2133" t="str">
        <f>T("   611190")</f>
        <v xml:space="preserve">   611190</v>
      </c>
      <c r="B2133" t="str">
        <f>T("   VÊTEMENTS ET ACCESSOIRES DU VÊTEMENT, EN BONNETERIE, DE MATIÈRES TEXTILES, POUR BÉBÉS (SAUF DE COTON, FIBRES SYNTHÉTIQUES ET SAUF BONNETS)")</f>
        <v xml:space="preserve">   VÊTEMENTS ET ACCESSOIRES DU VÊTEMENT, EN BONNETERIE, DE MATIÈRES TEXTILES, POUR BÉBÉS (SAUF DE COTON, FIBRES SYNTHÉTIQUES ET SAUF BONNETS)</v>
      </c>
      <c r="C2133">
        <v>14805364</v>
      </c>
      <c r="D2133">
        <v>33256</v>
      </c>
    </row>
    <row r="2134" spans="1:4" x14ac:dyDescent="0.25">
      <c r="A2134" t="str">
        <f>T("   611300")</f>
        <v xml:space="preserve">   611300</v>
      </c>
      <c r="B2134" t="str">
        <f>T("   Vêtements confectionnés en étoffes de bonneterie caoutchoutées ou imprégnées, enduites ou recouvertes de matière plastique ou d'autres substances (sauf vêtements pour bébés et accessoires du vêtement)")</f>
        <v xml:space="preserve">   Vêtements confectionnés en étoffes de bonneterie caoutchoutées ou imprégnées, enduites ou recouvertes de matière plastique ou d'autres substances (sauf vêtements pour bébés et accessoires du vêtement)</v>
      </c>
      <c r="C2134">
        <v>229196369</v>
      </c>
      <c r="D2134">
        <v>420000</v>
      </c>
    </row>
    <row r="2135" spans="1:4" x14ac:dyDescent="0.25">
      <c r="A2135" t="str">
        <f>T("   611410")</f>
        <v xml:space="preserve">   611410</v>
      </c>
      <c r="B2135" t="str">
        <f>T("   Vêtements spéciaux destinés à des fins professionnelles, sportives ou autres n.d.a., en bonneterie, de laine ou poils fins")</f>
        <v xml:space="preserve">   Vêtements spéciaux destinés à des fins professionnelles, sportives ou autres n.d.a., en bonneterie, de laine ou poils fins</v>
      </c>
      <c r="C2135">
        <v>6554000</v>
      </c>
      <c r="D2135">
        <v>14000</v>
      </c>
    </row>
    <row r="2136" spans="1:4" x14ac:dyDescent="0.25">
      <c r="A2136" t="str">
        <f>T("   611420")</f>
        <v xml:space="preserve">   611420</v>
      </c>
      <c r="B2136" t="str">
        <f>T("   Vêtements spéciaux destinés à des fins professionnelles, sportives ou autres n.d.a., en bonneterie, de coton")</f>
        <v xml:space="preserve">   Vêtements spéciaux destinés à des fins professionnelles, sportives ou autres n.d.a., en bonneterie, de coton</v>
      </c>
      <c r="C2136">
        <v>16399</v>
      </c>
      <c r="D2136">
        <v>36</v>
      </c>
    </row>
    <row r="2137" spans="1:4" x14ac:dyDescent="0.25">
      <c r="A2137" t="str">
        <f>T("   611490")</f>
        <v xml:space="preserve">   611490</v>
      </c>
      <c r="B2137" t="str">
        <f>T("   Vêtements spéciaux destinés à des fins professionnelles, sportives ou autres n.d.a., en bonneterie, de matières textiles (sauf de laine, poils fins, coton, fibres synthétiques ou artificielles)")</f>
        <v xml:space="preserve">   Vêtements spéciaux destinés à des fins professionnelles, sportives ou autres n.d.a., en bonneterie, de matières textiles (sauf de laine, poils fins, coton, fibres synthétiques ou artificielles)</v>
      </c>
      <c r="C2137">
        <v>140068681</v>
      </c>
      <c r="D2137">
        <v>312094</v>
      </c>
    </row>
    <row r="2138" spans="1:4" x14ac:dyDescent="0.25">
      <c r="A2138" t="str">
        <f>T("   611511")</f>
        <v xml:space="preserve">   611511</v>
      </c>
      <c r="B2138" t="str">
        <f>T("   COLLANTS 'BAS-CULOTTES', EN BONNETERIE, DE FIBRES SYNTHÉTIQUES, TITRE EN FILS SIMPLES &lt; 67 DÉCITEX")</f>
        <v xml:space="preserve">   COLLANTS 'BAS-CULOTTES', EN BONNETERIE, DE FIBRES SYNTHÉTIQUES, TITRE EN FILS SIMPLES &lt; 67 DÉCITEX</v>
      </c>
      <c r="C2138">
        <v>1805979</v>
      </c>
      <c r="D2138">
        <v>3241</v>
      </c>
    </row>
    <row r="2139" spans="1:4" x14ac:dyDescent="0.25">
      <c r="A2139" t="str">
        <f>T("   611519")</f>
        <v xml:space="preserve">   611519</v>
      </c>
      <c r="B2139" t="str">
        <f>T("   COLLANTS 'BAS-CULOTTES', EN BONNETERIE, DE MATIÈRES TEXTILES (SAUF DE FIBRES SYNTHÉTIQUES ET SAUF ARTICLES CHAUSSANTS POUR BÉBÉS)")</f>
        <v xml:space="preserve">   COLLANTS 'BAS-CULOTTES', EN BONNETERIE, DE MATIÈRES TEXTILES (SAUF DE FIBRES SYNTHÉTIQUES ET SAUF ARTICLES CHAUSSANTS POUR BÉBÉS)</v>
      </c>
      <c r="C2139">
        <v>1570269</v>
      </c>
      <c r="D2139">
        <v>4144</v>
      </c>
    </row>
    <row r="2140" spans="1:4" x14ac:dyDescent="0.25">
      <c r="A2140" t="str">
        <f>T("   611592")</f>
        <v xml:space="preserve">   611592</v>
      </c>
      <c r="B2140" t="str">
        <f>T("   BAS ET MI-BAS, CHAUSSETTES ET AUTRES ARTICLES CHAUSSANTS, Y.C. LES BAS À VARICES, EN BONNETERIE, DE COTON (SAUF COLLANTS 'BAS-CULOTTES' BAS ET MI-BAS DE FEMMES À TITRE EN FILS SIMPLES &lt; 67 DÉCITEX ET SAUF ARTICLES CHAUSSANTS POUR BÉBÉS)")</f>
        <v xml:space="preserve">   BAS ET MI-BAS, CHAUSSETTES ET AUTRES ARTICLES CHAUSSANTS, Y.C. LES BAS À VARICES, EN BONNETERIE, DE COTON (SAUF COLLANTS 'BAS-CULOTTES' BAS ET MI-BAS DE FEMMES À TITRE EN FILS SIMPLES &lt; 67 DÉCITEX ET SAUF ARTICLES CHAUSSANTS POUR BÉBÉS)</v>
      </c>
      <c r="C2140">
        <v>5440623</v>
      </c>
      <c r="D2140">
        <v>9388</v>
      </c>
    </row>
    <row r="2141" spans="1:4" x14ac:dyDescent="0.25">
      <c r="A2141" t="str">
        <f>T("   611599")</f>
        <v xml:space="preserve">   611599</v>
      </c>
      <c r="B2141" t="s">
        <v>263</v>
      </c>
      <c r="C2141">
        <v>1318112</v>
      </c>
      <c r="D2141">
        <v>60</v>
      </c>
    </row>
    <row r="2142" spans="1:4" x14ac:dyDescent="0.25">
      <c r="A2142" t="str">
        <f>T("   611692")</f>
        <v xml:space="preserve">   611692</v>
      </c>
      <c r="B2142" t="str">
        <f>T("   Gants, mitaines et moufles, en bonneterie, de coton (sauf imprégnés, enduits ou recouverts de matière plastique ou de caoutchouc et sauf pour bébés)")</f>
        <v xml:space="preserve">   Gants, mitaines et moufles, en bonneterie, de coton (sauf imprégnés, enduits ou recouverts de matière plastique ou de caoutchouc et sauf pour bébés)</v>
      </c>
      <c r="C2142">
        <v>477926</v>
      </c>
      <c r="D2142">
        <v>60</v>
      </c>
    </row>
    <row r="2143" spans="1:4" x14ac:dyDescent="0.25">
      <c r="A2143" t="str">
        <f>T("   620113")</f>
        <v xml:space="preserve">   620113</v>
      </c>
      <c r="B2143" t="str">
        <f>T("   Manteaux, imperméables, cabans, capes et articles simil., de fibres synthétiques ou artificielles, pour hommes ou garçonnets (à l'excl. des articles en bonneterie)")</f>
        <v xml:space="preserve">   Manteaux, imperméables, cabans, capes et articles simil., de fibres synthétiques ou artificielles, pour hommes ou garçonnets (à l'excl. des articles en bonneterie)</v>
      </c>
      <c r="C2143">
        <v>787152</v>
      </c>
      <c r="D2143">
        <v>2000</v>
      </c>
    </row>
    <row r="2144" spans="1:4" x14ac:dyDescent="0.25">
      <c r="A2144" t="str">
        <f>T("   620312")</f>
        <v xml:space="preserve">   620312</v>
      </c>
      <c r="B2144" t="str">
        <f>T("   Costumes ou complets, de fibres synthétiques, pour hommes ou garçonnets (autres qu'en bonneterie et sauf survêtements de sport 'trainings', combinaisons et ensembles de ski, maillots, culottes et slips de bain)")</f>
        <v xml:space="preserve">   Costumes ou complets, de fibres synthétiques, pour hommes ou garçonnets (autres qu'en bonneterie et sauf survêtements de sport 'trainings', combinaisons et ensembles de ski, maillots, culottes et slips de bain)</v>
      </c>
      <c r="C2144">
        <v>2482957</v>
      </c>
      <c r="D2144">
        <v>16132</v>
      </c>
    </row>
    <row r="2145" spans="1:4" x14ac:dyDescent="0.25">
      <c r="A2145" t="str">
        <f>T("   620319")</f>
        <v xml:space="preserve">   620319</v>
      </c>
      <c r="B2145" t="s">
        <v>267</v>
      </c>
      <c r="C2145">
        <v>5154159</v>
      </c>
      <c r="D2145">
        <v>11233</v>
      </c>
    </row>
    <row r="2146" spans="1:4" x14ac:dyDescent="0.25">
      <c r="A2146" t="str">
        <f>T("   620333")</f>
        <v xml:space="preserve">   620333</v>
      </c>
      <c r="B2146" t="str">
        <f>T("   Vestons de fibres synthétiques, pour hommes ou garçonnets (autres qu'en bonneterie et sauf vêtements de travail, anoraks et articles simil.)")</f>
        <v xml:space="preserve">   Vestons de fibres synthétiques, pour hommes ou garçonnets (autres qu'en bonneterie et sauf vêtements de travail, anoraks et articles simil.)</v>
      </c>
      <c r="C2146">
        <v>89893</v>
      </c>
      <c r="D2146">
        <v>35</v>
      </c>
    </row>
    <row r="2147" spans="1:4" x14ac:dyDescent="0.25">
      <c r="A2147" t="str">
        <f>T("   620339")</f>
        <v xml:space="preserve">   620339</v>
      </c>
      <c r="B2147" t="str">
        <f>T("   Vestons de matières textiles, pour hommes ou garçonnets (autres que laine, poils fins, coton ou fibres synthétiques, autres qu'en bonneterie et sauf anoraks et articles simil.)")</f>
        <v xml:space="preserve">   Vestons de matières textiles, pour hommes ou garçonnets (autres que laine, poils fins, coton ou fibres synthétiques, autres qu'en bonneterie et sauf anoraks et articles simil.)</v>
      </c>
      <c r="C2147">
        <v>13339439</v>
      </c>
      <c r="D2147">
        <v>16938</v>
      </c>
    </row>
    <row r="2148" spans="1:4" x14ac:dyDescent="0.25">
      <c r="A2148" t="str">
        <f>T("   620341")</f>
        <v xml:space="preserve">   620341</v>
      </c>
      <c r="B2148" t="str">
        <f>T("   Pantalons, y.c. knickers et pantalons simil., salopettes à bretelles, culottes et shorts, de laine ou poils fins, pour hommes ou garçonnets (autres qu'en bonneterie et sauf slips et caleçons et maillots, culottes et slips de bain)")</f>
        <v xml:space="preserve">   Pantalons, y.c. knickers et pantalons simil., salopettes à bretelles, culottes et shorts, de laine ou poils fins, pour hommes ou garçonnets (autres qu'en bonneterie et sauf slips et caleçons et maillots, culottes et slips de bain)</v>
      </c>
      <c r="C2148">
        <v>10000200</v>
      </c>
      <c r="D2148">
        <v>12000</v>
      </c>
    </row>
    <row r="2149" spans="1:4" x14ac:dyDescent="0.25">
      <c r="A2149" t="str">
        <f>T("   620342")</f>
        <v xml:space="preserve">   620342</v>
      </c>
      <c r="B2149" t="str">
        <f>T("   Pantalons, y.c. knickers et pantalons simil., salopettes à bretelles, culottes et shorts, de coton, pour hommes ou garçonnets (autres qu'en bonneterie et sauf slips et caleçons ainsi que maillots, culottes et slips de bain)")</f>
        <v xml:space="preserve">   Pantalons, y.c. knickers et pantalons simil., salopettes à bretelles, culottes et shorts, de coton, pour hommes ou garçonnets (autres qu'en bonneterie et sauf slips et caleçons ainsi que maillots, culottes et slips de bain)</v>
      </c>
      <c r="C2149">
        <v>1916486963</v>
      </c>
      <c r="D2149">
        <v>3093158</v>
      </c>
    </row>
    <row r="2150" spans="1:4" x14ac:dyDescent="0.25">
      <c r="A2150" t="str">
        <f>T("   620343")</f>
        <v xml:space="preserve">   620343</v>
      </c>
      <c r="B2150" t="str">
        <f>T("   Pantalons, y.c. knickers et pantalons simil., salopettes à bretelles, culottes et shorts, de fibres synthétiques, pour hommes ou garçonnets (autres qu'en bonneterie et sauf slips et caleçons et maillots, culottes et slips de bain)")</f>
        <v xml:space="preserve">   Pantalons, y.c. knickers et pantalons simil., salopettes à bretelles, culottes et shorts, de fibres synthétiques, pour hommes ou garçonnets (autres qu'en bonneterie et sauf slips et caleçons et maillots, culottes et slips de bain)</v>
      </c>
      <c r="C2150">
        <v>2644651</v>
      </c>
      <c r="D2150">
        <v>6000</v>
      </c>
    </row>
    <row r="2151" spans="1:4" x14ac:dyDescent="0.25">
      <c r="A2151" t="str">
        <f>T("   620349")</f>
        <v xml:space="preserve">   620349</v>
      </c>
      <c r="B2151" t="s">
        <v>268</v>
      </c>
      <c r="C2151">
        <v>74852950</v>
      </c>
      <c r="D2151">
        <v>169361</v>
      </c>
    </row>
    <row r="2152" spans="1:4" x14ac:dyDescent="0.25">
      <c r="A2152" t="str">
        <f>T("   620413")</f>
        <v xml:space="preserve">   620413</v>
      </c>
      <c r="B2152" t="str">
        <f>T("   Costumes tailleurs, de fibres synthétiques, pour femmes ou fillettes (autres qu'en bonneterie et sauf combinaisons de ski et vêtements de bain)")</f>
        <v xml:space="preserve">   Costumes tailleurs, de fibres synthétiques, pour femmes ou fillettes (autres qu'en bonneterie et sauf combinaisons de ski et vêtements de bain)</v>
      </c>
      <c r="C2152">
        <v>3343512</v>
      </c>
      <c r="D2152">
        <v>44048</v>
      </c>
    </row>
    <row r="2153" spans="1:4" x14ac:dyDescent="0.25">
      <c r="A2153" t="str">
        <f>T("   620419")</f>
        <v xml:space="preserve">   620419</v>
      </c>
      <c r="B2153" t="str">
        <f>T("   Costumes tailleurs, de matières textiles, pour femmes ou fillettes (autres que laine, poils fins, coton ou fibres synthétiques, autres qu'en bonneterie et sauf combinaisons de ski et vêtements de bain)")</f>
        <v xml:space="preserve">   Costumes tailleurs, de matières textiles, pour femmes ou fillettes (autres que laine, poils fins, coton ou fibres synthétiques, autres qu'en bonneterie et sauf combinaisons de ski et vêtements de bain)</v>
      </c>
      <c r="C2153">
        <v>5902236</v>
      </c>
      <c r="D2153">
        <v>10000</v>
      </c>
    </row>
    <row r="2154" spans="1:4" x14ac:dyDescent="0.25">
      <c r="A2154" t="str">
        <f>T("   620423")</f>
        <v xml:space="preserve">   620423</v>
      </c>
      <c r="B2154" t="str">
        <f>T("   Ensembles de fibres synthétiques, pour femmes ou fillettes (autres qu'en bonneterie et sauf ensembles de ski et vêtements de bain)")</f>
        <v xml:space="preserve">   Ensembles de fibres synthétiques, pour femmes ou fillettes (autres qu'en bonneterie et sauf ensembles de ski et vêtements de bain)</v>
      </c>
      <c r="C2154">
        <v>3525140</v>
      </c>
      <c r="D2154">
        <v>5814</v>
      </c>
    </row>
    <row r="2155" spans="1:4" x14ac:dyDescent="0.25">
      <c r="A2155" t="str">
        <f>T("   620429")</f>
        <v xml:space="preserve">   620429</v>
      </c>
      <c r="B2155" t="str">
        <f>T("   Ensembles de matières textiles, pour femmes ou fillettes (autres que laine, poils fins, coton ou fibres synthétiques, autres qu'en bonneterie et sauf, ensembles de ski et vêtements de bain)")</f>
        <v xml:space="preserve">   Ensembles de matières textiles, pour femmes ou fillettes (autres que laine, poils fins, coton ou fibres synthétiques, autres qu'en bonneterie et sauf, ensembles de ski et vêtements de bain)</v>
      </c>
      <c r="C2155">
        <v>63754</v>
      </c>
      <c r="D2155">
        <v>23</v>
      </c>
    </row>
    <row r="2156" spans="1:4" x14ac:dyDescent="0.25">
      <c r="A2156" t="str">
        <f>T("   620433")</f>
        <v xml:space="preserve">   620433</v>
      </c>
      <c r="B2156" t="str">
        <f>T("   Vestes de fibres synthétiques, pour femmes ou fillettes (autres qu'en bonneterie et sauf anoraks et articles simil.)")</f>
        <v xml:space="preserve">   Vestes de fibres synthétiques, pour femmes ou fillettes (autres qu'en bonneterie et sauf anoraks et articles simil.)</v>
      </c>
      <c r="C2156">
        <v>1555014</v>
      </c>
      <c r="D2156">
        <v>2906</v>
      </c>
    </row>
    <row r="2157" spans="1:4" x14ac:dyDescent="0.25">
      <c r="A2157" t="str">
        <f>T("   620443")</f>
        <v xml:space="preserve">   620443</v>
      </c>
      <c r="B2157" t="str">
        <f>T("   Robes de fibres synthétiques, pour femmes ou fillettes (autres qu'en bonneterie et sauf combinaisons et fonds de robes)")</f>
        <v xml:space="preserve">   Robes de fibres synthétiques, pour femmes ou fillettes (autres qu'en bonneterie et sauf combinaisons et fonds de robes)</v>
      </c>
      <c r="C2157">
        <v>16951005</v>
      </c>
      <c r="D2157">
        <v>18203</v>
      </c>
    </row>
    <row r="2158" spans="1:4" x14ac:dyDescent="0.25">
      <c r="A2158" t="str">
        <f>T("   620463")</f>
        <v xml:space="preserve">   620463</v>
      </c>
      <c r="B2158" t="str">
        <f>T("   Pantalons, y.c. knickers et pantalons simil., salopettes à bretelles, culottes et shorts, de fibres synthétiques, pour femmes ou fillettes (autres qu'en bonneterie et sauf slips et vêtements pour le bain)")</f>
        <v xml:space="preserve">   Pantalons, y.c. knickers et pantalons simil., salopettes à bretelles, culottes et shorts, de fibres synthétiques, pour femmes ou fillettes (autres qu'en bonneterie et sauf slips et vêtements pour le bain)</v>
      </c>
      <c r="C2158">
        <v>10948912</v>
      </c>
      <c r="D2158">
        <v>29630</v>
      </c>
    </row>
    <row r="2159" spans="1:4" x14ac:dyDescent="0.25">
      <c r="A2159" t="str">
        <f>T("   620469")</f>
        <v xml:space="preserve">   620469</v>
      </c>
      <c r="B2159" t="s">
        <v>269</v>
      </c>
      <c r="C2159">
        <v>41311822</v>
      </c>
      <c r="D2159">
        <v>55000</v>
      </c>
    </row>
    <row r="2160" spans="1:4" x14ac:dyDescent="0.25">
      <c r="A2160" t="str">
        <f>T("   620520")</f>
        <v xml:space="preserve">   620520</v>
      </c>
      <c r="B2160" t="str">
        <f>T("   Chemises et chemisettes, de coton, pour hommes ou garçonnets (autres qu'en bonneterie et sauf chemises de nuit et gilets de corps)")</f>
        <v xml:space="preserve">   Chemises et chemisettes, de coton, pour hommes ou garçonnets (autres qu'en bonneterie et sauf chemises de nuit et gilets de corps)</v>
      </c>
      <c r="C2160">
        <v>1300476</v>
      </c>
      <c r="D2160">
        <v>4710</v>
      </c>
    </row>
    <row r="2161" spans="1:4" x14ac:dyDescent="0.25">
      <c r="A2161" t="str">
        <f>T("   620530")</f>
        <v xml:space="preserve">   620530</v>
      </c>
      <c r="B2161" t="str">
        <f>T("   Chemises et chemisettes, de fibres synthétiques ou artificielles, pour hommes ou garçonnets (autres qu'en bonneterie et sauf chemises de nuit et gilets de corps)")</f>
        <v xml:space="preserve">   Chemises et chemisettes, de fibres synthétiques ou artificielles, pour hommes ou garçonnets (autres qu'en bonneterie et sauf chemises de nuit et gilets de corps)</v>
      </c>
      <c r="C2161">
        <v>13663564</v>
      </c>
      <c r="D2161">
        <v>10650</v>
      </c>
    </row>
    <row r="2162" spans="1:4" x14ac:dyDescent="0.25">
      <c r="A2162" t="str">
        <f>T("   620590")</f>
        <v xml:space="preserve">   620590</v>
      </c>
      <c r="B2162"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2162">
        <v>119538605</v>
      </c>
      <c r="D2162">
        <v>204412</v>
      </c>
    </row>
    <row r="2163" spans="1:4" x14ac:dyDescent="0.25">
      <c r="A2163" t="str">
        <f>T("   620690")</f>
        <v xml:space="preserve">   620690</v>
      </c>
      <c r="B2163" t="s">
        <v>270</v>
      </c>
      <c r="C2163">
        <v>8271992</v>
      </c>
      <c r="D2163">
        <v>22265</v>
      </c>
    </row>
    <row r="2164" spans="1:4" x14ac:dyDescent="0.25">
      <c r="A2164" t="str">
        <f>T("   620719")</f>
        <v xml:space="preserve">   620719</v>
      </c>
      <c r="B2164" t="str">
        <f>T("   SLIPS ET CALETHONS, DE MATIÈRES TEXTILES, POUR HOMMES OU GARÇONNETS (AUTRES QUE DE COTON ET AUTRES QU'EN BONNETERIE)")</f>
        <v xml:space="preserve">   SLIPS ET CALETHONS, DE MATIÈRES TEXTILES, POUR HOMMES OU GARÇONNETS (AUTRES QUE DE COTON ET AUTRES QU'EN BONNETERIE)</v>
      </c>
      <c r="C2164">
        <v>2197820</v>
      </c>
      <c r="D2164">
        <v>2637</v>
      </c>
    </row>
    <row r="2165" spans="1:4" x14ac:dyDescent="0.25">
      <c r="A2165" t="str">
        <f>T("   620799")</f>
        <v xml:space="preserve">   620799</v>
      </c>
      <c r="B2165" t="str">
        <f>T("   GILETS DE CORPS, PEIGNOIRS DE BAIN, ROBES DE CHAMBRE ET ARTICLES SIMIL., DE MATIÈRES TEXTILES, POUR HOMMES OU GARÇONNETS (AUTRES QUE DE COTON ET AUTRES QU'EN BONNETERIE ET SAUF SLIPS ET CALEÇONS, CHEMISES DE NUIT ET PYJAMAS)")</f>
        <v xml:space="preserve">   GILETS DE CORPS, PEIGNOIRS DE BAIN, ROBES DE CHAMBRE ET ARTICLES SIMIL., DE MATIÈRES TEXTILES, POUR HOMMES OU GARÇONNETS (AUTRES QUE DE COTON ET AUTRES QU'EN BONNETERIE ET SAUF SLIPS ET CALEÇONS, CHEMISES DE NUIT ET PYJAMAS)</v>
      </c>
      <c r="C2165">
        <v>438126</v>
      </c>
      <c r="D2165">
        <v>600</v>
      </c>
    </row>
    <row r="2166" spans="1:4" x14ac:dyDescent="0.25">
      <c r="A2166" t="str">
        <f>T("   620899")</f>
        <v xml:space="preserve">   620899</v>
      </c>
      <c r="B2166" t="s">
        <v>271</v>
      </c>
      <c r="C2166">
        <v>164573</v>
      </c>
      <c r="D2166">
        <v>1112</v>
      </c>
    </row>
    <row r="2167" spans="1:4" x14ac:dyDescent="0.25">
      <c r="A2167" t="str">
        <f>T("   620920")</f>
        <v xml:space="preserve">   620920</v>
      </c>
      <c r="B2167" t="str">
        <f>T("   Vêtements et accessoires du vêtement, de coton, pour bébés (autres qu'en bonneterie et sauf bonnets)")</f>
        <v xml:space="preserve">   Vêtements et accessoires du vêtement, de coton, pour bébés (autres qu'en bonneterie et sauf bonnets)</v>
      </c>
      <c r="C2167">
        <v>79366</v>
      </c>
      <c r="D2167">
        <v>112</v>
      </c>
    </row>
    <row r="2168" spans="1:4" x14ac:dyDescent="0.25">
      <c r="A2168" t="str">
        <f>T("   620930")</f>
        <v xml:space="preserve">   620930</v>
      </c>
      <c r="B2168" t="str">
        <f>T("   Vêtements et accessoires du vêtement, de fibres synthétiques, pour bébés (autres qu'en bonneterie et sauf bonnets)")</f>
        <v xml:space="preserve">   Vêtements et accessoires du vêtement, de fibres synthétiques, pour bébés (autres qu'en bonneterie et sauf bonnets)</v>
      </c>
      <c r="C2168">
        <v>4735253</v>
      </c>
      <c r="D2168">
        <v>31360</v>
      </c>
    </row>
    <row r="2169" spans="1:4" x14ac:dyDescent="0.25">
      <c r="A2169" t="str">
        <f>T("   620990")</f>
        <v xml:space="preserve">   620990</v>
      </c>
      <c r="B2169" t="str">
        <f>T("   VÊTEMENTS ET ACCESSOIRES DU VÊTEMENT, DE MATIÈRES TEXTILES, POUR BÉBÉS (AUTRES QUE DE COTON, FIBRES SYNTHÉTIQUES, AUTRES QU'EN BONNETERIE ET SAUF BONNETS)")</f>
        <v xml:space="preserve">   VÊTEMENTS ET ACCESSOIRES DU VÊTEMENT, DE MATIÈRES TEXTILES, POUR BÉBÉS (AUTRES QUE DE COTON, FIBRES SYNTHÉTIQUES, AUTRES QU'EN BONNETERIE ET SAUF BONNETS)</v>
      </c>
      <c r="C2169">
        <v>15550654</v>
      </c>
      <c r="D2169">
        <v>30678</v>
      </c>
    </row>
    <row r="2170" spans="1:4" x14ac:dyDescent="0.25">
      <c r="A2170" t="str">
        <f>T("   621040")</f>
        <v xml:space="preserve">   621040</v>
      </c>
      <c r="B2170" t="s">
        <v>272</v>
      </c>
      <c r="C2170">
        <v>26115113</v>
      </c>
      <c r="D2170">
        <v>45792</v>
      </c>
    </row>
    <row r="2171" spans="1:4" x14ac:dyDescent="0.25">
      <c r="A2171" t="str">
        <f>T("   621050")</f>
        <v xml:space="preserve">   621050</v>
      </c>
      <c r="B2171" t="s">
        <v>273</v>
      </c>
      <c r="C2171">
        <v>6655195</v>
      </c>
      <c r="D2171">
        <v>12022</v>
      </c>
    </row>
    <row r="2172" spans="1:4" x14ac:dyDescent="0.25">
      <c r="A2172" t="str">
        <f>T("   621132")</f>
        <v xml:space="preserve">   621132</v>
      </c>
      <c r="B2172" t="str">
        <f>T("   Survêtements de sport 'trainings' et autres vêtements n.d.a., de coton, pour hommes ou garçonnets (autres qu'en bonneterie)")</f>
        <v xml:space="preserve">   Survêtements de sport 'trainings' et autres vêtements n.d.a., de coton, pour hommes ou garçonnets (autres qu'en bonneterie)</v>
      </c>
      <c r="C2172">
        <v>3811791</v>
      </c>
      <c r="D2172">
        <v>2087</v>
      </c>
    </row>
    <row r="2173" spans="1:4" x14ac:dyDescent="0.25">
      <c r="A2173" t="str">
        <f>T("   621139")</f>
        <v xml:space="preserve">   621139</v>
      </c>
      <c r="B2173" t="str">
        <f>T("   Survêtements de sport 'trainings' et autres vêtements n.d.a., de matières textiles, pour hommes ou garçonnets (autres que de laine, poils fins, coton, fibres synthétiques ou artificielles, autres qu'en bonneterie)")</f>
        <v xml:space="preserve">   Survêtements de sport 'trainings' et autres vêtements n.d.a., de matières textiles, pour hommes ou garçonnets (autres que de laine, poils fins, coton, fibres synthétiques ou artificielles, autres qu'en bonneterie)</v>
      </c>
      <c r="C2173">
        <v>6095156</v>
      </c>
      <c r="D2173">
        <v>10189</v>
      </c>
    </row>
    <row r="2174" spans="1:4" x14ac:dyDescent="0.25">
      <c r="A2174" t="str">
        <f>T("   621143")</f>
        <v xml:space="preserve">   621143</v>
      </c>
      <c r="B2174" t="str">
        <f>T("   Survêtements de sport 'trainings' et autres vêtements n.d.a., de fibres synthétiques ou artificielles, pour femmes ou fillettes (autres qu'en bonneterie)")</f>
        <v xml:space="preserve">   Survêtements de sport 'trainings' et autres vêtements n.d.a., de fibres synthétiques ou artificielles, pour femmes ou fillettes (autres qu'en bonneterie)</v>
      </c>
      <c r="C2174">
        <v>19945864</v>
      </c>
      <c r="D2174">
        <v>51363</v>
      </c>
    </row>
    <row r="2175" spans="1:4" x14ac:dyDescent="0.25">
      <c r="A2175" t="str">
        <f>T("   621149")</f>
        <v xml:space="preserve">   621149</v>
      </c>
      <c r="B2175" t="str">
        <f>T("   Survêtements de sport 'trainings' et autres vêtements n.d.a., de matières textiles, pour femmes ou fillettes (autres que de laine, poils fins, coton, fibres synthétiques ou artificielles, autres qu'en bonneterie)")</f>
        <v xml:space="preserve">   Survêtements de sport 'trainings' et autres vêtements n.d.a., de matières textiles, pour femmes ou fillettes (autres que de laine, poils fins, coton, fibres synthétiques ou artificielles, autres qu'en bonneterie)</v>
      </c>
      <c r="C2175">
        <v>1198375</v>
      </c>
      <c r="D2175">
        <v>3000</v>
      </c>
    </row>
    <row r="2176" spans="1:4" x14ac:dyDescent="0.25">
      <c r="A2176" t="str">
        <f>T("   621210")</f>
        <v xml:space="preserve">   621210</v>
      </c>
      <c r="B2176" t="str">
        <f>T("   Soutiens-gorge et bustiers en tous types de matières textiles, même élastiques et même en bonneterie")</f>
        <v xml:space="preserve">   Soutiens-gorge et bustiers en tous types de matières textiles, même élastiques et même en bonneterie</v>
      </c>
      <c r="C2176">
        <v>111703</v>
      </c>
      <c r="D2176">
        <v>1742</v>
      </c>
    </row>
    <row r="2177" spans="1:4" x14ac:dyDescent="0.25">
      <c r="A2177" t="str">
        <f>T("   621290")</f>
        <v xml:space="preserve">   621290</v>
      </c>
      <c r="B2177" t="s">
        <v>274</v>
      </c>
      <c r="C2177">
        <v>88454</v>
      </c>
      <c r="D2177">
        <v>350</v>
      </c>
    </row>
    <row r="2178" spans="1:4" x14ac:dyDescent="0.25">
      <c r="A2178" t="str">
        <f>T("   621490")</f>
        <v xml:space="preserve">   621490</v>
      </c>
      <c r="B2178" t="str">
        <f>T("   Châles, écharpes, foulards, cache-nez, cache-col, mantilles, voiles et voilettes et articles simil., de matières textiles (autres que de laine, poils fins, fibres synthétiques ou artificielles, soie et déchets de soie et autres qu'en bonneterie)")</f>
        <v xml:space="preserve">   Châles, écharpes, foulards, cache-nez, cache-col, mantilles, voiles et voilettes et articles simil., de matières textiles (autres que de laine, poils fins, fibres synthétiques ou artificielles, soie et déchets de soie et autres qu'en bonneterie)</v>
      </c>
      <c r="C2178">
        <v>5745809</v>
      </c>
      <c r="D2178">
        <v>21557</v>
      </c>
    </row>
    <row r="2179" spans="1:4" x14ac:dyDescent="0.25">
      <c r="A2179" t="str">
        <f>T("   621590")</f>
        <v xml:space="preserve">   621590</v>
      </c>
      <c r="B2179" t="str">
        <f>T("   Cravates, noeuds papillons et foulards cravates, de matières textiles (autres que fibres synthétiques ou artificielles, soie et déchets de soie et autres qu'en bonneterie)")</f>
        <v xml:space="preserve">   Cravates, noeuds papillons et foulards cravates, de matières textiles (autres que fibres synthétiques ou artificielles, soie et déchets de soie et autres qu'en bonneterie)</v>
      </c>
      <c r="C2179">
        <v>589237</v>
      </c>
      <c r="D2179">
        <v>820</v>
      </c>
    </row>
    <row r="2180" spans="1:4" x14ac:dyDescent="0.25">
      <c r="A2180" t="str">
        <f>T("   621600")</f>
        <v xml:space="preserve">   621600</v>
      </c>
      <c r="B2180" t="str">
        <f>T("   Gants, mitaines et moufles, en tous types de matières textiles (autres qu'en bonneterie et sauf gants pour bébés)")</f>
        <v xml:space="preserve">   Gants, mitaines et moufles, en tous types de matières textiles (autres qu'en bonneterie et sauf gants pour bébés)</v>
      </c>
      <c r="C2180">
        <v>35860400</v>
      </c>
      <c r="D2180">
        <v>155498</v>
      </c>
    </row>
    <row r="2181" spans="1:4" x14ac:dyDescent="0.25">
      <c r="A2181" t="str">
        <f>T("   621710")</f>
        <v xml:space="preserve">   621710</v>
      </c>
      <c r="B2181" t="str">
        <f>T("   Accessoires confectionnés du vêtement en tous types de matières textiles, n.d.a. (autres qu'en bonneterie)")</f>
        <v xml:space="preserve">   Accessoires confectionnés du vêtement en tous types de matières textiles, n.d.a. (autres qu'en bonneterie)</v>
      </c>
      <c r="C2181">
        <v>8080283</v>
      </c>
      <c r="D2181">
        <v>46137</v>
      </c>
    </row>
    <row r="2182" spans="1:4" x14ac:dyDescent="0.25">
      <c r="A2182" t="str">
        <f>T("   630190")</f>
        <v xml:space="preserve">   630190</v>
      </c>
      <c r="B2182" t="s">
        <v>275</v>
      </c>
      <c r="C2182">
        <v>4751239</v>
      </c>
      <c r="D2182">
        <v>9759</v>
      </c>
    </row>
    <row r="2183" spans="1:4" x14ac:dyDescent="0.25">
      <c r="A2183" t="str">
        <f>T("   630210")</f>
        <v xml:space="preserve">   630210</v>
      </c>
      <c r="B2183" t="str">
        <f>T("   LINGE DE LIT EN BONNETERIE")</f>
        <v xml:space="preserve">   LINGE DE LIT EN BONNETERIE</v>
      </c>
      <c r="C2183">
        <v>8211295</v>
      </c>
      <c r="D2183">
        <v>21009</v>
      </c>
    </row>
    <row r="2184" spans="1:4" x14ac:dyDescent="0.25">
      <c r="A2184" t="str">
        <f>T("   630221")</f>
        <v xml:space="preserve">   630221</v>
      </c>
      <c r="B2184" t="str">
        <f>T("   Linge de lit de coton, imprimé (autre qu'en bonneterie)")</f>
        <v xml:space="preserve">   Linge de lit de coton, imprimé (autre qu'en bonneterie)</v>
      </c>
      <c r="C2184">
        <v>7864569</v>
      </c>
      <c r="D2184">
        <v>4135</v>
      </c>
    </row>
    <row r="2185" spans="1:4" x14ac:dyDescent="0.25">
      <c r="A2185" t="str">
        <f>T("   630222")</f>
        <v xml:space="preserve">   630222</v>
      </c>
      <c r="B2185" t="str">
        <f>T("   Linge de lit, de fibres synthétiques ou artificielles, imprimé (autres qu'en bonneterie)")</f>
        <v xml:space="preserve">   Linge de lit, de fibres synthétiques ou artificielles, imprimé (autres qu'en bonneterie)</v>
      </c>
      <c r="C2185">
        <v>522353</v>
      </c>
      <c r="D2185">
        <v>1800</v>
      </c>
    </row>
    <row r="2186" spans="1:4" x14ac:dyDescent="0.25">
      <c r="A2186" t="str">
        <f>T("   630229")</f>
        <v xml:space="preserve">   630229</v>
      </c>
      <c r="B2186" t="str">
        <f>T("   Linge de lit, de matières textiles, imprimé (autre que de coton, fibres synthétiques ou artificielles, autres qu'en bonneterie)")</f>
        <v xml:space="preserve">   Linge de lit, de matières textiles, imprimé (autre que de coton, fibres synthétiques ou artificielles, autres qu'en bonneterie)</v>
      </c>
      <c r="C2186">
        <v>18764112</v>
      </c>
      <c r="D2186">
        <v>47761</v>
      </c>
    </row>
    <row r="2187" spans="1:4" x14ac:dyDescent="0.25">
      <c r="A2187" t="str">
        <f>T("   630231")</f>
        <v xml:space="preserve">   630231</v>
      </c>
      <c r="B2187" t="str">
        <f>T("   Linge de lit de coton (autre qu'imprimé, autre qu'en bonneterie)")</f>
        <v xml:space="preserve">   Linge de lit de coton (autre qu'imprimé, autre qu'en bonneterie)</v>
      </c>
      <c r="C2187">
        <v>7331503</v>
      </c>
      <c r="D2187">
        <v>10985</v>
      </c>
    </row>
    <row r="2188" spans="1:4" x14ac:dyDescent="0.25">
      <c r="A2188" t="str">
        <f>T("   630239")</f>
        <v xml:space="preserve">   630239</v>
      </c>
      <c r="B2188" t="str">
        <f>T("   Linge de lit de matières textiles (autres que de coton, fibres synthétiques ou artificielles, autre qu'imprimé, autre qu'en bonneterie)")</f>
        <v xml:space="preserve">   Linge de lit de matières textiles (autres que de coton, fibres synthétiques ou artificielles, autre qu'imprimé, autre qu'en bonneterie)</v>
      </c>
      <c r="C2188">
        <v>3936210</v>
      </c>
      <c r="D2188">
        <v>5799</v>
      </c>
    </row>
    <row r="2189" spans="1:4" x14ac:dyDescent="0.25">
      <c r="A2189" t="str">
        <f>T("   630240")</f>
        <v xml:space="preserve">   630240</v>
      </c>
      <c r="B2189" t="str">
        <f>T("   LINGE DE TABLE EN BONNETERIE")</f>
        <v xml:space="preserve">   LINGE DE TABLE EN BONNETERIE</v>
      </c>
      <c r="C2189">
        <v>2544003</v>
      </c>
      <c r="D2189">
        <v>285</v>
      </c>
    </row>
    <row r="2190" spans="1:4" x14ac:dyDescent="0.25">
      <c r="A2190" t="str">
        <f>T("   630253")</f>
        <v xml:space="preserve">   630253</v>
      </c>
      <c r="B2190" t="str">
        <f>T("   Linge de table de fibres synthétiques ou artificielles (autres qu'en bonneterie)")</f>
        <v xml:space="preserve">   Linge de table de fibres synthétiques ou artificielles (autres qu'en bonneterie)</v>
      </c>
      <c r="C2190">
        <v>3104552</v>
      </c>
      <c r="D2190">
        <v>10371</v>
      </c>
    </row>
    <row r="2191" spans="1:4" x14ac:dyDescent="0.25">
      <c r="A2191" t="str">
        <f>T("   630259")</f>
        <v xml:space="preserve">   630259</v>
      </c>
      <c r="B2191" t="str">
        <f>T("   LINGE DE TABLE DE MATIÈRES TEXTILES (AUTRE QUE DE COTON, FIBRES SYNTHÉTIQUES OU ARTIFICIELLES, AUTRE QU'EN BONNETERIE)")</f>
        <v xml:space="preserve">   LINGE DE TABLE DE MATIÈRES TEXTILES (AUTRE QUE DE COTON, FIBRES SYNTHÉTIQUES OU ARTIFICIELLES, AUTRE QU'EN BONNETERIE)</v>
      </c>
      <c r="C2191">
        <v>7324512</v>
      </c>
      <c r="D2191">
        <v>27608</v>
      </c>
    </row>
    <row r="2192" spans="1:4" x14ac:dyDescent="0.25">
      <c r="A2192" t="str">
        <f>T("   630260")</f>
        <v xml:space="preserve">   630260</v>
      </c>
      <c r="B2192" t="str">
        <f>T("   Linge de toilette ou de cuisine, bouclé du genre éponge, de coton (sauf serpillières, chiffons à parquet, lavettes et chamoisettes)")</f>
        <v xml:space="preserve">   Linge de toilette ou de cuisine, bouclé du genre éponge, de coton (sauf serpillières, chiffons à parquet, lavettes et chamoisettes)</v>
      </c>
      <c r="C2192">
        <v>31829078</v>
      </c>
      <c r="D2192">
        <v>59147</v>
      </c>
    </row>
    <row r="2193" spans="1:4" x14ac:dyDescent="0.25">
      <c r="A2193" t="str">
        <f>T("   630291")</f>
        <v xml:space="preserve">   630291</v>
      </c>
      <c r="B2193" t="str">
        <f>T("   Linge de toilette ou de cuisine en coton (autre que bouclé du genre éponge et sauf serpillières, chiffons à parquet, lavettes et chamoisettes)")</f>
        <v xml:space="preserve">   Linge de toilette ou de cuisine en coton (autre que bouclé du genre éponge et sauf serpillières, chiffons à parquet, lavettes et chamoisettes)</v>
      </c>
      <c r="C2193">
        <v>1433273</v>
      </c>
      <c r="D2193">
        <v>5850</v>
      </c>
    </row>
    <row r="2194" spans="1:4" x14ac:dyDescent="0.25">
      <c r="A2194" t="str">
        <f>T("   630299")</f>
        <v xml:space="preserve">   630299</v>
      </c>
      <c r="B2194" t="str">
        <f>T("   LINGE DE TOILETTE OU DE CUISINE, DE MATIÈRES TEXTILES (AUTRE QUE DE COTON, FIBRES SYNTHÉTIQUES OU ARTIFICIELLES ET SAUF SERPILLIÈRES, CHIFFONS À PARQUET, LAVETTES ET CHAMOISETTES)")</f>
        <v xml:space="preserve">   LINGE DE TOILETTE OU DE CUISINE, DE MATIÈRES TEXTILES (AUTRE QUE DE COTON, FIBRES SYNTHÉTIQUES OU ARTIFICIELLES ET SAUF SERPILLIÈRES, CHIFFONS À PARQUET, LAVETTES ET CHAMOISETTES)</v>
      </c>
      <c r="C2194">
        <v>10838982</v>
      </c>
      <c r="D2194">
        <v>24974</v>
      </c>
    </row>
    <row r="2195" spans="1:4" x14ac:dyDescent="0.25">
      <c r="A2195" t="str">
        <f>T("   630312")</f>
        <v xml:space="preserve">   630312</v>
      </c>
      <c r="B2195" t="str">
        <f>T("   Vitrages, rideaux et stores d'intérieur ainsi que cantonnières et tours de lit, en bonneterie, de fibres synthétiques (autres que stores d'extérieur)")</f>
        <v xml:space="preserve">   Vitrages, rideaux et stores d'intérieur ainsi que cantonnières et tours de lit, en bonneterie, de fibres synthétiques (autres que stores d'extérieur)</v>
      </c>
      <c r="C2195">
        <v>943001</v>
      </c>
      <c r="D2195">
        <v>3160</v>
      </c>
    </row>
    <row r="2196" spans="1:4" x14ac:dyDescent="0.25">
      <c r="A2196" t="str">
        <f>T("   630319")</f>
        <v xml:space="preserve">   630319</v>
      </c>
      <c r="B2196" t="str">
        <f>T("   Vitrages, rideaux et stores d'intérieur ainsi que cantonnières et tours de lit, en bonneterie (autres que de coton et fibres synthétiques et autres que stores d'extérieur)")</f>
        <v xml:space="preserve">   Vitrages, rideaux et stores d'intérieur ainsi que cantonnières et tours de lit, en bonneterie (autres que de coton et fibres synthétiques et autres que stores d'extérieur)</v>
      </c>
      <c r="C2196">
        <v>19742742</v>
      </c>
      <c r="D2196">
        <v>53985</v>
      </c>
    </row>
    <row r="2197" spans="1:4" x14ac:dyDescent="0.25">
      <c r="A2197" t="str">
        <f>T("   630392")</f>
        <v xml:space="preserve">   630392</v>
      </c>
      <c r="B2197" t="str">
        <f>T("   Vitrages, rideaux et stores d'intérieur ainsi que cantonnières et tours de lit, de fibres synthétiques (autres qu'en bonneterie et autres que stores d'extérieur)")</f>
        <v xml:space="preserve">   Vitrages, rideaux et stores d'intérieur ainsi que cantonnières et tours de lit, de fibres synthétiques (autres qu'en bonneterie et autres que stores d'extérieur)</v>
      </c>
      <c r="C2197">
        <v>11839845</v>
      </c>
      <c r="D2197">
        <v>38170</v>
      </c>
    </row>
    <row r="2198" spans="1:4" x14ac:dyDescent="0.25">
      <c r="A2198" t="str">
        <f>T("   630399")</f>
        <v xml:space="preserve">   630399</v>
      </c>
      <c r="B2198" t="str">
        <f>T("   Vitrages, rideaux et stores d'intérieur ainsi que cantonnières et tours de lit, de matières textiles (autres que de coton et fibres synthétiques, autres qu'en bonneterie et autres que stores d'extérieur)")</f>
        <v xml:space="preserve">   Vitrages, rideaux et stores d'intérieur ainsi que cantonnières et tours de lit, de matières textiles (autres que de coton et fibres synthétiques, autres qu'en bonneterie et autres que stores d'extérieur)</v>
      </c>
      <c r="C2198">
        <v>26648620</v>
      </c>
      <c r="D2198">
        <v>68276</v>
      </c>
    </row>
    <row r="2199" spans="1:4" x14ac:dyDescent="0.25">
      <c r="A2199" t="str">
        <f>T("   630419")</f>
        <v xml:space="preserve">   630419</v>
      </c>
      <c r="B2199" t="str">
        <f>T("   Couvre-lits en tous types de matières textiles (autres qu'en bonneterie et sauf linge de lit, couvre-pieds et édredons)")</f>
        <v xml:space="preserve">   Couvre-lits en tous types de matières textiles (autres qu'en bonneterie et sauf linge de lit, couvre-pieds et édredons)</v>
      </c>
      <c r="C2199">
        <v>6884639</v>
      </c>
      <c r="D2199">
        <v>15342</v>
      </c>
    </row>
    <row r="2200" spans="1:4" x14ac:dyDescent="0.25">
      <c r="A2200" t="str">
        <f>T("   630491")</f>
        <v xml:space="preserve">   630491</v>
      </c>
      <c r="B2200" t="s">
        <v>276</v>
      </c>
      <c r="C2200">
        <v>28543623</v>
      </c>
      <c r="D2200">
        <v>115659</v>
      </c>
    </row>
    <row r="2201" spans="1:4" x14ac:dyDescent="0.25">
      <c r="A2201" t="str">
        <f>T("   630492")</f>
        <v xml:space="preserve">   630492</v>
      </c>
      <c r="B2201" t="s">
        <v>277</v>
      </c>
      <c r="C2201">
        <v>366108</v>
      </c>
      <c r="D2201">
        <v>3000</v>
      </c>
    </row>
    <row r="2202" spans="1:4" x14ac:dyDescent="0.25">
      <c r="A2202" t="str">
        <f>T("   630493")</f>
        <v xml:space="preserve">   630493</v>
      </c>
      <c r="B2202" t="s">
        <v>278</v>
      </c>
      <c r="C2202">
        <v>4508324</v>
      </c>
      <c r="D2202">
        <v>60400</v>
      </c>
    </row>
    <row r="2203" spans="1:4" x14ac:dyDescent="0.25">
      <c r="A2203" t="str">
        <f>T("   630499")</f>
        <v xml:space="preserve">   630499</v>
      </c>
      <c r="B2203" t="s">
        <v>279</v>
      </c>
      <c r="C2203">
        <v>13316118</v>
      </c>
      <c r="D2203">
        <v>9860</v>
      </c>
    </row>
    <row r="2204" spans="1:4" x14ac:dyDescent="0.25">
      <c r="A2204" t="str">
        <f>T("   630510")</f>
        <v xml:space="preserve">   630510</v>
      </c>
      <c r="B2204" t="str">
        <f>T("   Sacs et sachets d'emballage de jute ou d'autres fibres textiles libériennes du n° 5303")</f>
        <v xml:space="preserve">   Sacs et sachets d'emballage de jute ou d'autres fibres textiles libériennes du n° 5303</v>
      </c>
      <c r="C2204">
        <v>22779296</v>
      </c>
      <c r="D2204">
        <v>57560</v>
      </c>
    </row>
    <row r="2205" spans="1:4" x14ac:dyDescent="0.25">
      <c r="A2205" t="str">
        <f>T("   630520")</f>
        <v xml:space="preserve">   630520</v>
      </c>
      <c r="B2205" t="str">
        <f>T("   SACS ET SACHETS D'EMBALLAGE DE COTON")</f>
        <v xml:space="preserve">   SACS ET SACHETS D'EMBALLAGE DE COTON</v>
      </c>
      <c r="C2205">
        <v>31562691</v>
      </c>
      <c r="D2205">
        <v>16000</v>
      </c>
    </row>
    <row r="2206" spans="1:4" x14ac:dyDescent="0.25">
      <c r="A2206" t="str">
        <f>T("   630533")</f>
        <v xml:space="preserve">   630533</v>
      </c>
      <c r="B2206" t="str">
        <f>T("   Sacs et sachets d'emballage obtenus à partir de lames ou formes simil., de polyéthylène ou polypropylène (à l'excl. des contenants souples pour matières en vrac)")</f>
        <v xml:space="preserve">   Sacs et sachets d'emballage obtenus à partir de lames ou formes simil., de polyéthylène ou polypropylène (à l'excl. des contenants souples pour matières en vrac)</v>
      </c>
      <c r="C2206">
        <v>61737932</v>
      </c>
      <c r="D2206">
        <v>46905</v>
      </c>
    </row>
    <row r="2207" spans="1:4" x14ac:dyDescent="0.25">
      <c r="A2207" t="str">
        <f>T("   630539")</f>
        <v xml:space="preserve">   630539</v>
      </c>
      <c r="B2207" t="str">
        <f>T("   Sacs et sachets d'emballage de matières synthétiques ou artificielles (autres qu'en lames ou formes simil. de polyéthylène ou de polypropylène ainsi que contenants souples pour matières en vrac)")</f>
        <v xml:space="preserve">   Sacs et sachets d'emballage de matières synthétiques ou artificielles (autres qu'en lames ou formes simil. de polyéthylène ou de polypropylène ainsi que contenants souples pour matières en vrac)</v>
      </c>
      <c r="C2207">
        <v>7634000</v>
      </c>
      <c r="D2207">
        <v>25000</v>
      </c>
    </row>
    <row r="2208" spans="1:4" x14ac:dyDescent="0.25">
      <c r="A2208" t="str">
        <f>T("   630590")</f>
        <v xml:space="preserve">   630590</v>
      </c>
      <c r="B2208" t="str">
        <f>T("   Sacs et sachets d'emballage de matières textiles (autres qu'en matières textiles synthétiques ou artificielles, coton, jute ou autres fibres textiles libérienne du n° 5303)")</f>
        <v xml:space="preserve">   Sacs et sachets d'emballage de matières textiles (autres qu'en matières textiles synthétiques ou artificielles, coton, jute ou autres fibres textiles libérienne du n° 5303)</v>
      </c>
      <c r="C2208">
        <v>140408089</v>
      </c>
      <c r="D2208">
        <v>49000</v>
      </c>
    </row>
    <row r="2209" spans="1:4" x14ac:dyDescent="0.25">
      <c r="A2209" t="str">
        <f>T("   630619")</f>
        <v xml:space="preserve">   630619</v>
      </c>
      <c r="B2209" t="str">
        <f>T("   Bâches et stores d'extérieur de matières textiles (autres que de coton ou fibres synthétiques et sauf auvents plats en tissus légers, confectionnés selon le type de bâche)")</f>
        <v xml:space="preserve">   Bâches et stores d'extérieur de matières textiles (autres que de coton ou fibres synthétiques et sauf auvents plats en tissus légers, confectionnés selon le type de bâche)</v>
      </c>
      <c r="C2209">
        <v>1257335</v>
      </c>
      <c r="D2209">
        <v>5000</v>
      </c>
    </row>
    <row r="2210" spans="1:4" x14ac:dyDescent="0.25">
      <c r="A2210" t="str">
        <f>T("   630621")</f>
        <v xml:space="preserve">   630621</v>
      </c>
      <c r="B2210" t="str">
        <f>T("   Tentes de coton (sauf paravents)")</f>
        <v xml:space="preserve">   Tentes de coton (sauf paravents)</v>
      </c>
      <c r="C2210">
        <v>239970</v>
      </c>
      <c r="D2210">
        <v>380</v>
      </c>
    </row>
    <row r="2211" spans="1:4" x14ac:dyDescent="0.25">
      <c r="A2211" t="str">
        <f>T("   630622")</f>
        <v xml:space="preserve">   630622</v>
      </c>
      <c r="B2211" t="str">
        <f>T("   Tentes de fibres synthétiques (sauf paravents)")</f>
        <v xml:space="preserve">   Tentes de fibres synthétiques (sauf paravents)</v>
      </c>
      <c r="C2211">
        <v>132751</v>
      </c>
      <c r="D2211">
        <v>655</v>
      </c>
    </row>
    <row r="2212" spans="1:4" x14ac:dyDescent="0.25">
      <c r="A2212" t="str">
        <f>T("   630710")</f>
        <v xml:space="preserve">   630710</v>
      </c>
      <c r="B2212" t="str">
        <f>T("   Serpillières ou wassingues, lavettes, chamoisettes et articles d'entretien simil. en tous types de matières textiles")</f>
        <v xml:space="preserve">   Serpillières ou wassingues, lavettes, chamoisettes et articles d'entretien simil. en tous types de matières textiles</v>
      </c>
      <c r="C2212">
        <v>5497186</v>
      </c>
      <c r="D2212">
        <v>2625</v>
      </c>
    </row>
    <row r="2213" spans="1:4" x14ac:dyDescent="0.25">
      <c r="A2213" t="str">
        <f>T("   630720")</f>
        <v xml:space="preserve">   630720</v>
      </c>
      <c r="B2213" t="str">
        <f>T("   Ceintures et gilets de sauvetage en tous types de matières textiles")</f>
        <v xml:space="preserve">   Ceintures et gilets de sauvetage en tous types de matières textiles</v>
      </c>
      <c r="C2213">
        <v>2381866</v>
      </c>
      <c r="D2213">
        <v>886</v>
      </c>
    </row>
    <row r="2214" spans="1:4" x14ac:dyDescent="0.25">
      <c r="A2214" t="str">
        <f>T("   630790")</f>
        <v xml:space="preserve">   630790</v>
      </c>
      <c r="B2214" t="str">
        <f>T("   Articles de matières textiles, confectionnés, y.c. les patrons de vêtements n.d.a.")</f>
        <v xml:space="preserve">   Articles de matières textiles, confectionnés, y.c. les patrons de vêtements n.d.a.</v>
      </c>
      <c r="C2214">
        <v>4780338</v>
      </c>
      <c r="D2214">
        <v>7478</v>
      </c>
    </row>
    <row r="2215" spans="1:4" x14ac:dyDescent="0.25">
      <c r="A2215" t="str">
        <f>T("   630900")</f>
        <v xml:space="preserve">   630900</v>
      </c>
      <c r="B2215" t="s">
        <v>280</v>
      </c>
      <c r="C2215">
        <v>4401968841</v>
      </c>
      <c r="D2215">
        <v>7402423</v>
      </c>
    </row>
    <row r="2216" spans="1:4" x14ac:dyDescent="0.25">
      <c r="A2216" t="str">
        <f>T("   631090")</f>
        <v xml:space="preserve">   631090</v>
      </c>
      <c r="B2216" t="str">
        <f>T("   Chiffons en tous types de matières textiles ainsi que ficelles, cordes et cordages et articles composés de ceux-ci, de matières textiles, sous forme de déchets ou d'articles hors d'usage, non triés")</f>
        <v xml:space="preserve">   Chiffons en tous types de matières textiles ainsi que ficelles, cordes et cordages et articles composés de ceux-ci, de matières textiles, sous forme de déchets ou d'articles hors d'usage, non triés</v>
      </c>
      <c r="C2216">
        <v>13792335</v>
      </c>
      <c r="D2216">
        <v>24926</v>
      </c>
    </row>
    <row r="2217" spans="1:4" x14ac:dyDescent="0.25">
      <c r="A2217" t="str">
        <f>T("   640192")</f>
        <v xml:space="preserve">   640192</v>
      </c>
      <c r="B2217" t="s">
        <v>282</v>
      </c>
      <c r="C2217">
        <v>1558800</v>
      </c>
      <c r="D2217">
        <v>891</v>
      </c>
    </row>
    <row r="2218" spans="1:4" x14ac:dyDescent="0.25">
      <c r="A2218" t="str">
        <f>T("   640199")</f>
        <v xml:space="preserve">   640199</v>
      </c>
      <c r="B2218" t="s">
        <v>281</v>
      </c>
      <c r="C2218">
        <v>1089691</v>
      </c>
      <c r="D2218">
        <v>493</v>
      </c>
    </row>
    <row r="2219" spans="1:4" x14ac:dyDescent="0.25">
      <c r="A2219" t="str">
        <f>T("   640219")</f>
        <v xml:space="preserve">   640219</v>
      </c>
      <c r="B2219" t="s">
        <v>283</v>
      </c>
      <c r="C2219">
        <v>51709131</v>
      </c>
      <c r="D2219">
        <v>134978</v>
      </c>
    </row>
    <row r="2220" spans="1:4" x14ac:dyDescent="0.25">
      <c r="A2220" t="str">
        <f>T("   640220")</f>
        <v xml:space="preserve">   640220</v>
      </c>
      <c r="B2220" t="str">
        <f>T("   Chaussures à semelles extérieures et dessus en caoutchouc ou en matière plastique, à dessus en lanières ou brides fixées à la semelle par des tétons (sauf chaussures ayant le caractère de jouets)")</f>
        <v xml:space="preserve">   Chaussures à semelles extérieures et dessus en caoutchouc ou en matière plastique, à dessus en lanières ou brides fixées à la semelle par des tétons (sauf chaussures ayant le caractère de jouets)</v>
      </c>
      <c r="C2220">
        <v>11370891</v>
      </c>
      <c r="D2220">
        <v>50236</v>
      </c>
    </row>
    <row r="2221" spans="1:4" x14ac:dyDescent="0.25">
      <c r="A2221" t="str">
        <f>T("   640230")</f>
        <v xml:space="preserve">   640230</v>
      </c>
      <c r="B2221" t="s">
        <v>284</v>
      </c>
      <c r="C2221">
        <v>850000</v>
      </c>
      <c r="D2221">
        <v>4500</v>
      </c>
    </row>
    <row r="2222" spans="1:4" x14ac:dyDescent="0.25">
      <c r="A2222" t="str">
        <f>T("   640291")</f>
        <v xml:space="preserve">   640291</v>
      </c>
      <c r="B2222" t="str">
        <f>T("   CHAUSSURES À SEMELLES EXTÉRIEURES ET DESSUS EN CAOUTCHOUC OU EN MATIÈRES PLASTIQUES, COUVRANT LA CHEVILLE (SAUF CHAUSSURES ÉTANCHES DU N° 6401, CHAUSSURES D'ORTHOPÉDIE ET DE SPORT ET CHAUSSURES AYANT LE CARACTÈRE DE JOUETS)")</f>
        <v xml:space="preserve">   CHAUSSURES À SEMELLES EXTÉRIEURES ET DESSUS EN CAOUTCHOUC OU EN MATIÈRES PLASTIQUES, COUVRANT LA CHEVILLE (SAUF CHAUSSURES ÉTANCHES DU N° 6401, CHAUSSURES D'ORTHOPÉDIE ET DE SPORT ET CHAUSSURES AYANT LE CARACTÈRE DE JOUETS)</v>
      </c>
      <c r="C2222">
        <v>1848000</v>
      </c>
      <c r="D2222">
        <v>3500</v>
      </c>
    </row>
    <row r="2223" spans="1:4" x14ac:dyDescent="0.25">
      <c r="A2223" t="str">
        <f>T("   640299")</f>
        <v xml:space="preserve">   640299</v>
      </c>
      <c r="B2223" t="s">
        <v>285</v>
      </c>
      <c r="C2223">
        <v>1707371928</v>
      </c>
      <c r="D2223">
        <v>4853230</v>
      </c>
    </row>
    <row r="2224" spans="1:4" x14ac:dyDescent="0.25">
      <c r="A2224" t="str">
        <f>T("   640319")</f>
        <v xml:space="preserve">   640319</v>
      </c>
      <c r="B2224" t="s">
        <v>286</v>
      </c>
      <c r="C2224">
        <v>8248494</v>
      </c>
      <c r="D2224">
        <v>28243</v>
      </c>
    </row>
    <row r="2225" spans="1:4" x14ac:dyDescent="0.25">
      <c r="A2225" t="str">
        <f>T("   640340")</f>
        <v xml:space="preserve">   640340</v>
      </c>
      <c r="B2225" t="str">
        <f>T("   Chaussures, à semelles extérieures en caoutchouc, matière plastique, cuir naturel ou reconstitué et dessus en cuir naturel, comportant à l'avant une coquille de protection en métal (sauf chaussures de sport ou d'orthopédie)")</f>
        <v xml:space="preserve">   Chaussures, à semelles extérieures en caoutchouc, matière plastique, cuir naturel ou reconstitué et dessus en cuir naturel, comportant à l'avant une coquille de protection en métal (sauf chaussures de sport ou d'orthopédie)</v>
      </c>
      <c r="C2225">
        <v>252000</v>
      </c>
      <c r="D2225">
        <v>36</v>
      </c>
    </row>
    <row r="2226" spans="1:4" x14ac:dyDescent="0.25">
      <c r="A2226" t="str">
        <f>T("   640391")</f>
        <v xml:space="preserve">   640391</v>
      </c>
      <c r="B2226" t="s">
        <v>287</v>
      </c>
      <c r="C2226">
        <v>141780000</v>
      </c>
      <c r="D2226">
        <v>7642</v>
      </c>
    </row>
    <row r="2227" spans="1:4" x14ac:dyDescent="0.25">
      <c r="A2227" t="str">
        <f>T("   640419")</f>
        <v xml:space="preserve">   640419</v>
      </c>
      <c r="B2227" t="s">
        <v>289</v>
      </c>
      <c r="C2227">
        <v>10952724</v>
      </c>
      <c r="D2227">
        <v>40753</v>
      </c>
    </row>
    <row r="2228" spans="1:4" x14ac:dyDescent="0.25">
      <c r="A2228" t="str">
        <f>T("   640520")</f>
        <v xml:space="preserve">   640520</v>
      </c>
      <c r="B2228" t="str">
        <f>T("   Chaussures à dessus en matières textiles (sauf à semelles extérieures en caoutchouc, matière plastique, cuir naturel ou reconstitué et sauf chaussures d'orthopédie et chaussures ayant le caractère de jouets)")</f>
        <v xml:space="preserve">   Chaussures à dessus en matières textiles (sauf à semelles extérieures en caoutchouc, matière plastique, cuir naturel ou reconstitué et sauf chaussures d'orthopédie et chaussures ayant le caractère de jouets)</v>
      </c>
      <c r="C2228">
        <v>3810000</v>
      </c>
      <c r="D2228">
        <v>12000</v>
      </c>
    </row>
    <row r="2229" spans="1:4" x14ac:dyDescent="0.25">
      <c r="A2229" t="str">
        <f>T("   640590")</f>
        <v xml:space="preserve">   640590</v>
      </c>
      <c r="B2229" t="s">
        <v>290</v>
      </c>
      <c r="C2229">
        <v>1319578406</v>
      </c>
      <c r="D2229">
        <v>3708861</v>
      </c>
    </row>
    <row r="2230" spans="1:4" x14ac:dyDescent="0.25">
      <c r="A2230" t="str">
        <f>T("   650300")</f>
        <v xml:space="preserve">   650300</v>
      </c>
      <c r="B2230" t="str">
        <f>T("   Chapeaux et autres coiffures en feutre, fabriqués à l'aide des cloches ou des plateaux du n° 6501, même garnis (sauf ceux fabriqués par l'assemblage de bandes ou de pièces en feutre ou ayant le caractère de jouets ou d'articles de carnaval)")</f>
        <v xml:space="preserve">   Chapeaux et autres coiffures en feutre, fabriqués à l'aide des cloches ou des plateaux du n° 6501, même garnis (sauf ceux fabriqués par l'assemblage de bandes ou de pièces en feutre ou ayant le caractère de jouets ou d'articles de carnaval)</v>
      </c>
      <c r="C2230">
        <v>55605</v>
      </c>
      <c r="D2230">
        <v>1500</v>
      </c>
    </row>
    <row r="2231" spans="1:4" x14ac:dyDescent="0.25">
      <c r="A2231" t="str">
        <f>T("   650400")</f>
        <v xml:space="preserve">   650400</v>
      </c>
      <c r="B2231" t="str">
        <f>T("   Chapeaux et autres coiffures, tressés ou fabriqués par l'assemblage de bandes en toutes matières, même garnis (sauf coiffures pour animaux ou ayant le caractère de jouets ou d'articles de carnaval)")</f>
        <v xml:space="preserve">   Chapeaux et autres coiffures, tressés ou fabriqués par l'assemblage de bandes en toutes matières, même garnis (sauf coiffures pour animaux ou ayant le caractère de jouets ou d'articles de carnaval)</v>
      </c>
      <c r="C2231">
        <v>1371923</v>
      </c>
      <c r="D2231">
        <v>6332</v>
      </c>
    </row>
    <row r="2232" spans="1:4" x14ac:dyDescent="0.25">
      <c r="A2232" t="str">
        <f>T("   650510")</f>
        <v xml:space="preserve">   650510</v>
      </c>
      <c r="B2232" t="str">
        <f>T("   Résilles et filets à cheveux en toutes matières, même garnis")</f>
        <v xml:space="preserve">   Résilles et filets à cheveux en toutes matières, même garnis</v>
      </c>
      <c r="C2232">
        <v>10921468</v>
      </c>
      <c r="D2232">
        <v>43515</v>
      </c>
    </row>
    <row r="2233" spans="1:4" x14ac:dyDescent="0.25">
      <c r="A2233" t="str">
        <f>T("   650590")</f>
        <v xml:space="preserve">   650590</v>
      </c>
      <c r="B2233" t="s">
        <v>291</v>
      </c>
      <c r="C2233">
        <v>31848415</v>
      </c>
      <c r="D2233">
        <v>58191</v>
      </c>
    </row>
    <row r="2234" spans="1:4" x14ac:dyDescent="0.25">
      <c r="A2234" t="str">
        <f>T("   650610")</f>
        <v xml:space="preserve">   650610</v>
      </c>
      <c r="B2234" t="str">
        <f>T("   Coiffures de sécurité, même garnies")</f>
        <v xml:space="preserve">   Coiffures de sécurité, même garnies</v>
      </c>
      <c r="C2234">
        <v>100901004</v>
      </c>
      <c r="D2234">
        <v>83159</v>
      </c>
    </row>
    <row r="2235" spans="1:4" x14ac:dyDescent="0.25">
      <c r="A2235" t="str">
        <f>T("   650691")</f>
        <v xml:space="preserve">   650691</v>
      </c>
      <c r="B2235" t="s">
        <v>292</v>
      </c>
      <c r="C2235">
        <v>6949257</v>
      </c>
      <c r="D2235">
        <v>18118</v>
      </c>
    </row>
    <row r="2236" spans="1:4" x14ac:dyDescent="0.25">
      <c r="A2236" t="str">
        <f>T("   650699")</f>
        <v xml:space="preserve">   650699</v>
      </c>
      <c r="B2236" t="str">
        <f>T("   Chapeaux et autres coiffures, même garnis, n.d.a.")</f>
        <v xml:space="preserve">   Chapeaux et autres coiffures, même garnis, n.d.a.</v>
      </c>
      <c r="C2236">
        <v>13523487</v>
      </c>
      <c r="D2236">
        <v>41153</v>
      </c>
    </row>
    <row r="2237" spans="1:4" x14ac:dyDescent="0.25">
      <c r="A2237" t="str">
        <f>T("   650700")</f>
        <v xml:space="preserve">   650700</v>
      </c>
      <c r="B2237" t="str">
        <f>T("   Bandes pour garniture intérieure, coiffes, couvre-coiffures, carcasses, visières et jugulaires pour la chapellerie (sauf les bandeaux utilisés par les sportifs comme protection contre les gouttes de transpiration, en bonneterie)")</f>
        <v xml:space="preserve">   Bandes pour garniture intérieure, coiffes, couvre-coiffures, carcasses, visières et jugulaires pour la chapellerie (sauf les bandeaux utilisés par les sportifs comme protection contre les gouttes de transpiration, en bonneterie)</v>
      </c>
      <c r="C2237">
        <v>1640131</v>
      </c>
      <c r="D2237">
        <v>3618</v>
      </c>
    </row>
    <row r="2238" spans="1:4" x14ac:dyDescent="0.25">
      <c r="A2238" t="str">
        <f>T("   660110")</f>
        <v xml:space="preserve">   660110</v>
      </c>
      <c r="B2238" t="str">
        <f>T("   Parasols de jardin et articles simil. (sauf tentes de plage)")</f>
        <v xml:space="preserve">   Parasols de jardin et articles simil. (sauf tentes de plage)</v>
      </c>
      <c r="C2238">
        <v>2529740</v>
      </c>
      <c r="D2238">
        <v>4258</v>
      </c>
    </row>
    <row r="2239" spans="1:4" x14ac:dyDescent="0.25">
      <c r="A2239" t="str">
        <f>T("   660191")</f>
        <v xml:space="preserve">   660191</v>
      </c>
      <c r="B2239" t="str">
        <f>T("   Parapluies, y.c. les parapluies-cannes et ombrelles, à mât ou à manche télescopique (sauf jouets d'enfants)")</f>
        <v xml:space="preserve">   Parapluies, y.c. les parapluies-cannes et ombrelles, à mât ou à manche télescopique (sauf jouets d'enfants)</v>
      </c>
      <c r="C2239">
        <v>173837</v>
      </c>
      <c r="D2239">
        <v>2095</v>
      </c>
    </row>
    <row r="2240" spans="1:4" x14ac:dyDescent="0.25">
      <c r="A2240" t="str">
        <f>T("   660199")</f>
        <v xml:space="preserve">   660199</v>
      </c>
      <c r="B2240" t="str">
        <f>T("   Parapluies, y.c. les parapluies-cannes et ombrelles (sauf parapluies et ombrelles à mât ou à manche télescopique, parasols de jardin et articles simil. et sauf jouets d'enfants)")</f>
        <v xml:space="preserve">   Parapluies, y.c. les parapluies-cannes et ombrelles (sauf parapluies et ombrelles à mât ou à manche télescopique, parasols de jardin et articles simil. et sauf jouets d'enfants)</v>
      </c>
      <c r="C2240">
        <v>5444560</v>
      </c>
      <c r="D2240">
        <v>14408</v>
      </c>
    </row>
    <row r="2241" spans="1:4" x14ac:dyDescent="0.25">
      <c r="A2241" t="str">
        <f>T("   660200")</f>
        <v xml:space="preserve">   660200</v>
      </c>
      <c r="B2241" t="str">
        <f>T("   Cannes, cannes-sièges, fouets, cravaches et articles simil. (sauf cannes-mesures, béquilles, cannes ayant le caractère d'armes et cannes de sport)")</f>
        <v xml:space="preserve">   Cannes, cannes-sièges, fouets, cravaches et articles simil. (sauf cannes-mesures, béquilles, cannes ayant le caractère d'armes et cannes de sport)</v>
      </c>
      <c r="C2241">
        <v>288569</v>
      </c>
      <c r="D2241">
        <v>1519</v>
      </c>
    </row>
    <row r="2242" spans="1:4" x14ac:dyDescent="0.25">
      <c r="A2242" t="str">
        <f>T("   670210")</f>
        <v xml:space="preserve">   670210</v>
      </c>
      <c r="B2242" t="str">
        <f>T("   Fleurs, feuillages et fruits artificiels, y.c. leurs parties; articles confectionnés en fleurs, feuillages ou fruits artificiels fabriqués par ligature, collage, emboîtage ou procédés simil., en matières plastiques")</f>
        <v xml:space="preserve">   Fleurs, feuillages et fruits artificiels, y.c. leurs parties; articles confectionnés en fleurs, feuillages ou fruits artificiels fabriqués par ligature, collage, emboîtage ou procédés simil., en matières plastiques</v>
      </c>
      <c r="C2242">
        <v>9601696</v>
      </c>
      <c r="D2242">
        <v>21021</v>
      </c>
    </row>
    <row r="2243" spans="1:4" x14ac:dyDescent="0.25">
      <c r="A2243" t="str">
        <f>T("   670290")</f>
        <v xml:space="preserve">   670290</v>
      </c>
      <c r="B2243" t="str">
        <f>T("   Fleurs, feuillages et fruits artificiels, y.c. leurs parties; articles confectionnés en fleurs, feuillages ou fruits artificiels fabriqués par ligature, collage, emboîtage ou procédés simil. (autres qu'en matière plastique)")</f>
        <v xml:space="preserve">   Fleurs, feuillages et fruits artificiels, y.c. leurs parties; articles confectionnés en fleurs, feuillages ou fruits artificiels fabriqués par ligature, collage, emboîtage ou procédés simil. (autres qu'en matière plastique)</v>
      </c>
      <c r="C2243">
        <v>1698899</v>
      </c>
      <c r="D2243">
        <v>6128</v>
      </c>
    </row>
    <row r="2244" spans="1:4" x14ac:dyDescent="0.25">
      <c r="A2244" t="str">
        <f>T("   670411")</f>
        <v xml:space="preserve">   670411</v>
      </c>
      <c r="B2244" t="str">
        <f>T("   Perruques complètes en matières textiles synthétiques")</f>
        <v xml:space="preserve">   Perruques complètes en matières textiles synthétiques</v>
      </c>
      <c r="C2244">
        <v>215574</v>
      </c>
      <c r="D2244">
        <v>800</v>
      </c>
    </row>
    <row r="2245" spans="1:4" x14ac:dyDescent="0.25">
      <c r="A2245" t="str">
        <f>T("   670419")</f>
        <v xml:space="preserve">   670419</v>
      </c>
      <c r="B2245" t="str">
        <f>T("   Barbes, sourcils, cils, mèches et articles simil., en matières textiles synthétiques (sauf perruques complètes)")</f>
        <v xml:space="preserve">   Barbes, sourcils, cils, mèches et articles simil., en matières textiles synthétiques (sauf perruques complètes)</v>
      </c>
      <c r="C2245">
        <v>17022085</v>
      </c>
      <c r="D2245">
        <v>13020</v>
      </c>
    </row>
    <row r="2246" spans="1:4" x14ac:dyDescent="0.25">
      <c r="A2246" t="str">
        <f>T("   670420")</f>
        <v xml:space="preserve">   670420</v>
      </c>
      <c r="B2246" t="str">
        <f>T("   Perruques, barbes, sourcils, cils, mèches et articles simil., en cheveux; ouvrages en cheveux n.d.a.")</f>
        <v xml:space="preserve">   Perruques, barbes, sourcils, cils, mèches et articles simil., en cheveux; ouvrages en cheveux n.d.a.</v>
      </c>
      <c r="C2246">
        <v>14203907</v>
      </c>
      <c r="D2246">
        <v>79236</v>
      </c>
    </row>
    <row r="2247" spans="1:4" x14ac:dyDescent="0.25">
      <c r="A2247" t="str">
        <f>T("   670490")</f>
        <v xml:space="preserve">   670490</v>
      </c>
      <c r="B2247" t="str">
        <f>T("   Perruques, barbes, sourcils, cils, mèches et articles simil., en poils ou matières textiles (sauf matières textiles synthétiques)")</f>
        <v xml:space="preserve">   Perruques, barbes, sourcils, cils, mèches et articles simil., en poils ou matières textiles (sauf matières textiles synthétiques)</v>
      </c>
      <c r="C2247">
        <v>764419</v>
      </c>
      <c r="D2247">
        <v>420</v>
      </c>
    </row>
    <row r="2248" spans="1:4" x14ac:dyDescent="0.25">
      <c r="A2248" t="str">
        <f>T("   680210")</f>
        <v xml:space="preserve">   680210</v>
      </c>
      <c r="B2248" t="s">
        <v>293</v>
      </c>
      <c r="C2248">
        <v>23659617</v>
      </c>
      <c r="D2248">
        <v>157250</v>
      </c>
    </row>
    <row r="2249" spans="1:4" x14ac:dyDescent="0.25">
      <c r="A2249" t="str">
        <f>T("   680221")</f>
        <v xml:space="preserve">   680221</v>
      </c>
      <c r="B2249" t="s">
        <v>294</v>
      </c>
      <c r="C2249">
        <v>5276214</v>
      </c>
      <c r="D2249">
        <v>11742</v>
      </c>
    </row>
    <row r="2250" spans="1:4" x14ac:dyDescent="0.25">
      <c r="A2250" t="str">
        <f>T("   680229")</f>
        <v xml:space="preserve">   680229</v>
      </c>
      <c r="B2250" t="s">
        <v>295</v>
      </c>
      <c r="C2250">
        <v>500497</v>
      </c>
      <c r="D2250">
        <v>500</v>
      </c>
    </row>
    <row r="2251" spans="1:4" x14ac:dyDescent="0.25">
      <c r="A2251" t="str">
        <f>T("   680291")</f>
        <v xml:space="preserve">   680291</v>
      </c>
      <c r="B2251" t="s">
        <v>296</v>
      </c>
      <c r="C2251">
        <v>1781523</v>
      </c>
      <c r="D2251">
        <v>5175.21</v>
      </c>
    </row>
    <row r="2252" spans="1:4" x14ac:dyDescent="0.25">
      <c r="A2252" t="str">
        <f>T("   680299")</f>
        <v xml:space="preserve">   680299</v>
      </c>
      <c r="B2252" t="s">
        <v>297</v>
      </c>
      <c r="C2252">
        <v>4274215</v>
      </c>
      <c r="D2252">
        <v>30000</v>
      </c>
    </row>
    <row r="2253" spans="1:4" x14ac:dyDescent="0.25">
      <c r="A2253" t="str">
        <f>T("   680911")</f>
        <v xml:space="preserve">   680911</v>
      </c>
      <c r="B2253" t="s">
        <v>300</v>
      </c>
      <c r="C2253">
        <v>17189592</v>
      </c>
      <c r="D2253">
        <v>48500</v>
      </c>
    </row>
    <row r="2254" spans="1:4" x14ac:dyDescent="0.25">
      <c r="A2254" t="str">
        <f>T("   680919")</f>
        <v xml:space="preserve">   680919</v>
      </c>
      <c r="B2254" t="s">
        <v>301</v>
      </c>
      <c r="C2254">
        <v>21475163</v>
      </c>
      <c r="D2254">
        <v>137248</v>
      </c>
    </row>
    <row r="2255" spans="1:4" x14ac:dyDescent="0.25">
      <c r="A2255" t="str">
        <f>T("   681019")</f>
        <v xml:space="preserve">   681019</v>
      </c>
      <c r="B2255" t="str">
        <f>T("   Tuiles, carreaux, dalles et articles simil., en ciment, en béton ou en pierre artificielle (autres que blocs et briques pour la construction)")</f>
        <v xml:space="preserve">   Tuiles, carreaux, dalles et articles simil., en ciment, en béton ou en pierre artificielle (autres que blocs et briques pour la construction)</v>
      </c>
      <c r="C2255">
        <v>199109532</v>
      </c>
      <c r="D2255">
        <v>2080325</v>
      </c>
    </row>
    <row r="2256" spans="1:4" x14ac:dyDescent="0.25">
      <c r="A2256" t="str">
        <f>T("   681120")</f>
        <v xml:space="preserve">   681120</v>
      </c>
      <c r="B2256" t="str">
        <f>T("   Plaques, panneaux, carreaux, tuiles et articles simil., en amiante-ciment, cellulose-ciment ou simil. (sauf plaques ondulées)")</f>
        <v xml:space="preserve">   Plaques, panneaux, carreaux, tuiles et articles simil., en amiante-ciment, cellulose-ciment ou simil. (sauf plaques ondulées)</v>
      </c>
      <c r="C2256">
        <v>31839406</v>
      </c>
      <c r="D2256">
        <v>502440</v>
      </c>
    </row>
    <row r="2257" spans="1:4" x14ac:dyDescent="0.25">
      <c r="A2257" t="str">
        <f>T("   681290")</f>
        <v xml:space="preserve">   681290</v>
      </c>
      <c r="B2257" t="s">
        <v>303</v>
      </c>
      <c r="C2257">
        <v>306262</v>
      </c>
      <c r="D2257">
        <v>5000</v>
      </c>
    </row>
    <row r="2258" spans="1:4" x14ac:dyDescent="0.25">
      <c r="A2258" t="str">
        <f>T("   690210")</f>
        <v xml:space="preserve">   690210</v>
      </c>
      <c r="B2258" t="str">
        <f>T("   Briques, dalles, carreaux et pièces céramiques de construction analogues, réfractaires, teneur en poids en éléments Mg, Ca ou Cr, pris isolément ou ensemble et exprimés en MgO, CaO ou Cr2O3 &gt; 50%")</f>
        <v xml:space="preserve">   Briques, dalles, carreaux et pièces céramiques de construction analogues, réfractaires, teneur en poids en éléments Mg, Ca ou Cr, pris isolément ou ensemble et exprimés en MgO, CaO ou Cr2O3 &gt; 50%</v>
      </c>
      <c r="C2258">
        <v>4356887</v>
      </c>
      <c r="D2258">
        <v>24976</v>
      </c>
    </row>
    <row r="2259" spans="1:4" x14ac:dyDescent="0.25">
      <c r="A2259" t="str">
        <f>T("   690510")</f>
        <v xml:space="preserve">   690510</v>
      </c>
      <c r="B2259" t="str">
        <f>T("   Tuiles")</f>
        <v xml:space="preserve">   Tuiles</v>
      </c>
      <c r="C2259">
        <v>6776424</v>
      </c>
      <c r="D2259">
        <v>34678</v>
      </c>
    </row>
    <row r="2260" spans="1:4" x14ac:dyDescent="0.25">
      <c r="A2260" t="str">
        <f>T("   690710")</f>
        <v xml:space="preserve">   690710</v>
      </c>
      <c r="B2260" t="str">
        <f>T("   Carreaux, cubes, dés et articles simil., en céramique, pour mosaïques, non vernissés ni émaillés, même de forme autre que carrée ou rectangulaire, dont la plus grande surface peut être inscrite dans un carré de côté &lt; 7 cm, même sur support")</f>
        <v xml:space="preserve">   Carreaux, cubes, dés et articles simil., en céramique, pour mosaïques, non vernissés ni émaillés, même de forme autre que carrée ou rectangulaire, dont la plus grande surface peut être inscrite dans un carré de côté &lt; 7 cm, même sur support</v>
      </c>
      <c r="C2260">
        <v>22907214</v>
      </c>
      <c r="D2260">
        <v>188910</v>
      </c>
    </row>
    <row r="2261" spans="1:4" x14ac:dyDescent="0.25">
      <c r="A2261" t="str">
        <f>T("   690790")</f>
        <v xml:space="preserve">   690790</v>
      </c>
      <c r="B2261" t="s">
        <v>310</v>
      </c>
      <c r="C2261">
        <v>387132612</v>
      </c>
      <c r="D2261">
        <v>2709357</v>
      </c>
    </row>
    <row r="2262" spans="1:4" x14ac:dyDescent="0.25">
      <c r="A2262" t="str">
        <f>T("   690810")</f>
        <v xml:space="preserve">   690810</v>
      </c>
      <c r="B2262" t="str">
        <f>T("   Carreaux, cubes, dés et simil., en céramique, pour mosaïques, vernissés ou émaillés, même de forme autre que carrée ou rectangulaire, dont la plus grande surface peut être inscrite dans un carré de côté &lt; 7 cm, même sur support")</f>
        <v xml:space="preserve">   Carreaux, cubes, dés et simil., en céramique, pour mosaïques, vernissés ou émaillés, même de forme autre que carrée ou rectangulaire, dont la plus grande surface peut être inscrite dans un carré de côté &lt; 7 cm, même sur support</v>
      </c>
      <c r="C2262">
        <v>195017787</v>
      </c>
      <c r="D2262">
        <v>1155645</v>
      </c>
    </row>
    <row r="2263" spans="1:4" x14ac:dyDescent="0.25">
      <c r="A2263" t="str">
        <f>T("   690890")</f>
        <v xml:space="preserve">   690890</v>
      </c>
      <c r="B2263" t="s">
        <v>311</v>
      </c>
      <c r="C2263">
        <v>2756386901</v>
      </c>
      <c r="D2263">
        <v>20617990</v>
      </c>
    </row>
    <row r="2264" spans="1:4" x14ac:dyDescent="0.25">
      <c r="A2264" t="str">
        <f>T("   691010")</f>
        <v xml:space="preserve">   691010</v>
      </c>
      <c r="B2264" t="s">
        <v>312</v>
      </c>
      <c r="C2264">
        <v>51014831</v>
      </c>
      <c r="D2264">
        <v>127391</v>
      </c>
    </row>
    <row r="2265" spans="1:4" x14ac:dyDescent="0.25">
      <c r="A2265" t="str">
        <f>T("   691090")</f>
        <v xml:space="preserve">   691090</v>
      </c>
      <c r="B2265" t="s">
        <v>313</v>
      </c>
      <c r="C2265">
        <v>265594053</v>
      </c>
      <c r="D2265">
        <v>1204811.5</v>
      </c>
    </row>
    <row r="2266" spans="1:4" x14ac:dyDescent="0.25">
      <c r="A2266" t="str">
        <f>T("   691110")</f>
        <v xml:space="preserve">   691110</v>
      </c>
      <c r="B2266" t="s">
        <v>314</v>
      </c>
      <c r="C2266">
        <v>45428722</v>
      </c>
      <c r="D2266">
        <v>124424</v>
      </c>
    </row>
    <row r="2267" spans="1:4" x14ac:dyDescent="0.25">
      <c r="A2267" t="str">
        <f>T("   691190")</f>
        <v xml:space="preserve">   691190</v>
      </c>
      <c r="B2267" t="s">
        <v>315</v>
      </c>
      <c r="C2267">
        <v>19641764</v>
      </c>
      <c r="D2267">
        <v>58214</v>
      </c>
    </row>
    <row r="2268" spans="1:4" x14ac:dyDescent="0.25">
      <c r="A2268" t="str">
        <f>T("   691200")</f>
        <v xml:space="preserve">   691200</v>
      </c>
      <c r="B2268" t="s">
        <v>316</v>
      </c>
      <c r="C2268">
        <v>21449323</v>
      </c>
      <c r="D2268">
        <v>77608</v>
      </c>
    </row>
    <row r="2269" spans="1:4" x14ac:dyDescent="0.25">
      <c r="A2269" t="str">
        <f>T("   691310")</f>
        <v xml:space="preserve">   691310</v>
      </c>
      <c r="B2269" t="str">
        <f>T("   Statuettes et autres objets d'ornementation en porcelaine n.d.a.")</f>
        <v xml:space="preserve">   Statuettes et autres objets d'ornementation en porcelaine n.d.a.</v>
      </c>
      <c r="C2269">
        <v>65192</v>
      </c>
      <c r="D2269">
        <v>100</v>
      </c>
    </row>
    <row r="2270" spans="1:4" x14ac:dyDescent="0.25">
      <c r="A2270" t="str">
        <f>T("   691390")</f>
        <v xml:space="preserve">   691390</v>
      </c>
      <c r="B2270" t="str">
        <f>T("   Statuettes et autres objets d'ornementation en céramique autres que la porcelaine n.d.a.")</f>
        <v xml:space="preserve">   Statuettes et autres objets d'ornementation en céramique autres que la porcelaine n.d.a.</v>
      </c>
      <c r="C2270">
        <v>4353118</v>
      </c>
      <c r="D2270">
        <v>5186</v>
      </c>
    </row>
    <row r="2271" spans="1:4" x14ac:dyDescent="0.25">
      <c r="A2271" t="str">
        <f>T("   691410")</f>
        <v xml:space="preserve">   691410</v>
      </c>
      <c r="B2271" t="str">
        <f>T("   Ouvrages en porcelaine n.d.a.")</f>
        <v xml:space="preserve">   Ouvrages en porcelaine n.d.a.</v>
      </c>
      <c r="C2271">
        <v>5220669</v>
      </c>
      <c r="D2271">
        <v>55932</v>
      </c>
    </row>
    <row r="2272" spans="1:4" x14ac:dyDescent="0.25">
      <c r="A2272" t="str">
        <f>T("   691490")</f>
        <v xml:space="preserve">   691490</v>
      </c>
      <c r="B2272" t="str">
        <f>T("   Ouvrages en céramique autres que la porcelaine n.d.a.")</f>
        <v xml:space="preserve">   Ouvrages en céramique autres que la porcelaine n.d.a.</v>
      </c>
      <c r="C2272">
        <v>27077427</v>
      </c>
      <c r="D2272">
        <v>135920</v>
      </c>
    </row>
    <row r="2273" spans="1:4" x14ac:dyDescent="0.25">
      <c r="A2273" t="str">
        <f>T("   700490")</f>
        <v xml:space="preserve">   700490</v>
      </c>
      <c r="B2273" t="str">
        <f>T("   FEUILLES EN VERRE ÉTIRÉ OU SOUFFLÉ MAIS NON AUTREMENT TRAVAILLÉ (AUTRES QU'EN VERRE COLORÉ DANS LA MASSE, OPACIFIÉ, PLAQUÉ [DOUBLÉ], OU À COUCHE ABSORBANTE, RÉFLÉCHISSANTE OU NON-RÉFLÉCHISSANTE)")</f>
        <v xml:space="preserve">   FEUILLES EN VERRE ÉTIRÉ OU SOUFFLÉ MAIS NON AUTREMENT TRAVAILLÉ (AUTRES QU'EN VERRE COLORÉ DANS LA MASSE, OPACIFIÉ, PLAQUÉ [DOUBLÉ], OU À COUCHE ABSORBANTE, RÉFLÉCHISSANTE OU NON-RÉFLÉCHISSANTE)</v>
      </c>
      <c r="C2273">
        <v>13169370</v>
      </c>
      <c r="D2273">
        <v>64000</v>
      </c>
    </row>
    <row r="2274" spans="1:4" x14ac:dyDescent="0.25">
      <c r="A2274" t="str">
        <f>T("   700510")</f>
        <v xml:space="preserve">   700510</v>
      </c>
      <c r="B2274" t="str">
        <f>T("   PLAQUES OU FEUILLES EN GLACE [VERRE FLOTTÉ ET VERRE DOUCI OU POLI SUR UNE OU DEUX FACES], À COUCHE ABSORBANTE, RÉFLÉCHISSANTE OU NON-RÉFLÉCHISSANTE, MAIS NON AUTREMENT TRAVAILLÉE (SAUF ARMÉE)")</f>
        <v xml:space="preserve">   PLAQUES OU FEUILLES EN GLACE [VERRE FLOTTÉ ET VERRE DOUCI OU POLI SUR UNE OU DEUX FACES], À COUCHE ABSORBANTE, RÉFLÉCHISSANTE OU NON-RÉFLÉCHISSANTE, MAIS NON AUTREMENT TRAVAILLÉE (SAUF ARMÉE)</v>
      </c>
      <c r="C2274">
        <v>138683441</v>
      </c>
      <c r="D2274">
        <v>591612</v>
      </c>
    </row>
    <row r="2275" spans="1:4" x14ac:dyDescent="0.25">
      <c r="A2275" t="str">
        <f>T("   700521")</f>
        <v xml:space="preserve">   700521</v>
      </c>
      <c r="B2275" t="s">
        <v>317</v>
      </c>
      <c r="C2275">
        <v>2666624</v>
      </c>
      <c r="D2275">
        <v>12298</v>
      </c>
    </row>
    <row r="2276" spans="1:4" x14ac:dyDescent="0.25">
      <c r="A2276" t="str">
        <f>T("   700529")</f>
        <v xml:space="preserve">   700529</v>
      </c>
      <c r="B2276" t="s">
        <v>318</v>
      </c>
      <c r="C2276">
        <v>454127661</v>
      </c>
      <c r="D2276">
        <v>2064058</v>
      </c>
    </row>
    <row r="2277" spans="1:4" x14ac:dyDescent="0.25">
      <c r="A2277" t="str">
        <f>T("   700711")</f>
        <v xml:space="preserve">   700711</v>
      </c>
      <c r="B2277" t="str">
        <f>T("   VERRES TREMPÉS DE DIMENSIONS ET FORMATS PERMETTANT LEUR EMPLOI DANS LES AUTOMOBILES, VÉHICULES AÉRIENS, BATEAUX OU AUTRES VÉHICULES [01/01/1988-31/12/1988: VERRES TREMPES, -DE SECURITE-, POUR AUTOMOBILES, AERODYNES, BATEAUX OU AUTRES VÉHICULES]")</f>
        <v xml:space="preserve">   VERRES TREMPÉS DE DIMENSIONS ET FORMATS PERMETTANT LEUR EMPLOI DANS LES AUTOMOBILES, VÉHICULES AÉRIENS, BATEAUX OU AUTRES VÉHICULES [01/01/1988-31/12/1988: VERRES TREMPES, -DE SECURITE-, POUR AUTOMOBILES, AERODYNES, BATEAUX OU AUTRES VÉHICULES]</v>
      </c>
      <c r="C2277">
        <v>28858632</v>
      </c>
      <c r="D2277">
        <v>68400</v>
      </c>
    </row>
    <row r="2278" spans="1:4" x14ac:dyDescent="0.25">
      <c r="A2278" t="str">
        <f>T("   700719")</f>
        <v xml:space="preserve">   700719</v>
      </c>
      <c r="B2278" t="s">
        <v>320</v>
      </c>
      <c r="C2278">
        <v>18558973</v>
      </c>
      <c r="D2278">
        <v>78235</v>
      </c>
    </row>
    <row r="2279" spans="1:4" x14ac:dyDescent="0.25">
      <c r="A2279" t="str">
        <f>T("   700729")</f>
        <v xml:space="preserve">   700729</v>
      </c>
      <c r="B2279" t="s">
        <v>322</v>
      </c>
      <c r="C2279">
        <v>7836893</v>
      </c>
      <c r="D2279">
        <v>60320</v>
      </c>
    </row>
    <row r="2280" spans="1:4" x14ac:dyDescent="0.25">
      <c r="A2280" t="str">
        <f>T("   700800")</f>
        <v xml:space="preserve">   700800</v>
      </c>
      <c r="B2280" t="str">
        <f>T("   Vitrages isolants à parois multiples")</f>
        <v xml:space="preserve">   Vitrages isolants à parois multiples</v>
      </c>
      <c r="C2280">
        <v>78859306</v>
      </c>
      <c r="D2280">
        <v>127000</v>
      </c>
    </row>
    <row r="2281" spans="1:4" x14ac:dyDescent="0.25">
      <c r="A2281" t="str">
        <f>T("   700910")</f>
        <v xml:space="preserve">   700910</v>
      </c>
      <c r="B2281" t="str">
        <f>T("   Miroirs rétroviseurs en verre, même encadrés, pour véhicules")</f>
        <v xml:space="preserve">   Miroirs rétroviseurs en verre, même encadrés, pour véhicules</v>
      </c>
      <c r="C2281">
        <v>8307644</v>
      </c>
      <c r="D2281">
        <v>16485</v>
      </c>
    </row>
    <row r="2282" spans="1:4" x14ac:dyDescent="0.25">
      <c r="A2282" t="str">
        <f>T("   700991")</f>
        <v xml:space="preserve">   700991</v>
      </c>
      <c r="B2282" t="str">
        <f>T("   Miroirs en verre non encadrés (sauf miroirs rétroviseurs pour véhicules, miroirs optiques, optiquement travaillés et miroirs de plus de 100 ans)")</f>
        <v xml:space="preserve">   Miroirs en verre non encadrés (sauf miroirs rétroviseurs pour véhicules, miroirs optiques, optiquement travaillés et miroirs de plus de 100 ans)</v>
      </c>
      <c r="C2282">
        <v>38518834</v>
      </c>
      <c r="D2282">
        <v>114060.14</v>
      </c>
    </row>
    <row r="2283" spans="1:4" x14ac:dyDescent="0.25">
      <c r="A2283" t="str">
        <f>T("   700992")</f>
        <v xml:space="preserve">   700992</v>
      </c>
      <c r="B2283" t="str">
        <f>T("   Miroirs, en verre encadrés (sauf miroirs rétroviseurs pour véhicules)")</f>
        <v xml:space="preserve">   Miroirs, en verre encadrés (sauf miroirs rétroviseurs pour véhicules)</v>
      </c>
      <c r="C2283">
        <v>4793195</v>
      </c>
      <c r="D2283">
        <v>17732</v>
      </c>
    </row>
    <row r="2284" spans="1:4" x14ac:dyDescent="0.25">
      <c r="A2284" t="str">
        <f>T("   701010")</f>
        <v xml:space="preserve">   701010</v>
      </c>
      <c r="B2284" t="str">
        <f>T("   AMPOULES EN VERRE")</f>
        <v xml:space="preserve">   AMPOULES EN VERRE</v>
      </c>
      <c r="C2284">
        <v>30199</v>
      </c>
      <c r="D2284">
        <v>100</v>
      </c>
    </row>
    <row r="2285" spans="1:4" x14ac:dyDescent="0.25">
      <c r="A2285" t="str">
        <f>T("   701020")</f>
        <v xml:space="preserve">   701020</v>
      </c>
      <c r="B2285" t="str">
        <f>T("   Bouchons, couvercles et autres dispositifs de fermeture en verre")</f>
        <v xml:space="preserve">   Bouchons, couvercles et autres dispositifs de fermeture en verre</v>
      </c>
      <c r="C2285">
        <v>1034806</v>
      </c>
      <c r="D2285">
        <v>5500</v>
      </c>
    </row>
    <row r="2286" spans="1:4" x14ac:dyDescent="0.25">
      <c r="A2286" t="str">
        <f>T("   701090")</f>
        <v xml:space="preserve">   701090</v>
      </c>
      <c r="B2286" t="s">
        <v>323</v>
      </c>
      <c r="C2286">
        <v>1349357</v>
      </c>
      <c r="D2286">
        <v>1985</v>
      </c>
    </row>
    <row r="2287" spans="1:4" x14ac:dyDescent="0.25">
      <c r="A2287" t="str">
        <f>T("   701110")</f>
        <v xml:space="preserve">   701110</v>
      </c>
      <c r="B2287" t="str">
        <f>T("   Ampoules en verre, ouvertes, et enveloppes tubulaires en verre, ouvertes, et leurs parties en verre, sans garnitures, pour l'éclairage électrique")</f>
        <v xml:space="preserve">   Ampoules en verre, ouvertes, et enveloppes tubulaires en verre, ouvertes, et leurs parties en verre, sans garnitures, pour l'éclairage électrique</v>
      </c>
      <c r="C2287">
        <v>4661011</v>
      </c>
      <c r="D2287">
        <v>13596</v>
      </c>
    </row>
    <row r="2288" spans="1:4" x14ac:dyDescent="0.25">
      <c r="A2288" t="str">
        <f>T("   701190")</f>
        <v xml:space="preserve">   701190</v>
      </c>
      <c r="B2288" t="str">
        <f>T("   Ampoules en verre, ouvertes, et enveloppes tubulaires en verre, ouvertes, et leurs parties en verre, sans garnitures, destinées à des lampes électriques ou simil. (autres que pour l'éclairage électrique ou pour tubes cathodique)")</f>
        <v xml:space="preserve">   Ampoules en verre, ouvertes, et enveloppes tubulaires en verre, ouvertes, et leurs parties en verre, sans garnitures, destinées à des lampes électriques ou simil. (autres que pour l'éclairage électrique ou pour tubes cathodique)</v>
      </c>
      <c r="C2288">
        <v>11945662</v>
      </c>
      <c r="D2288">
        <v>14032</v>
      </c>
    </row>
    <row r="2289" spans="1:4" x14ac:dyDescent="0.25">
      <c r="A2289" t="str">
        <f>T("   701200")</f>
        <v xml:space="preserve">   701200</v>
      </c>
      <c r="B2289" t="str">
        <f>T("   Ampoules en verre pour bouteilles isolantes ou pour autres récipients isothermiques, dont l'isolation est assurée par le vide")</f>
        <v xml:space="preserve">   Ampoules en verre pour bouteilles isolantes ou pour autres récipients isothermiques, dont l'isolation est assurée par le vide</v>
      </c>
      <c r="C2289">
        <v>1797331</v>
      </c>
      <c r="D2289">
        <v>2809</v>
      </c>
    </row>
    <row r="2290" spans="1:4" x14ac:dyDescent="0.25">
      <c r="A2290" t="str">
        <f>T("   701329")</f>
        <v xml:space="preserve">   701329</v>
      </c>
      <c r="B2290" t="str">
        <f>T("   Verres à boire (autres qu'en vitrocérame, autres qu'en cristal au plomb)")</f>
        <v xml:space="preserve">   Verres à boire (autres qu'en vitrocérame, autres qu'en cristal au plomb)</v>
      </c>
      <c r="C2290">
        <v>85535463</v>
      </c>
      <c r="D2290">
        <v>295707</v>
      </c>
    </row>
    <row r="2291" spans="1:4" x14ac:dyDescent="0.25">
      <c r="A2291" t="str">
        <f>T("   701339")</f>
        <v xml:space="preserve">   701339</v>
      </c>
      <c r="B2291" t="s">
        <v>327</v>
      </c>
      <c r="C2291">
        <v>12083564</v>
      </c>
      <c r="D2291">
        <v>33255</v>
      </c>
    </row>
    <row r="2292" spans="1:4" x14ac:dyDescent="0.25">
      <c r="A2292" t="str">
        <f>T("   701399")</f>
        <v xml:space="preserve">   701399</v>
      </c>
      <c r="B2292" t="s">
        <v>328</v>
      </c>
      <c r="C2292">
        <v>23058834</v>
      </c>
      <c r="D2292">
        <v>66482.210000000006</v>
      </c>
    </row>
    <row r="2293" spans="1:4" x14ac:dyDescent="0.25">
      <c r="A2293" t="str">
        <f>T("   701610")</f>
        <v xml:space="preserve">   701610</v>
      </c>
      <c r="B2293" t="str">
        <f>T("   Cubes, dés et autre verrerie même sur support, pour mosaïques ou décorations simil. (sauf panneaux et autres motifs décoratifs prêts à l'emploi en cubes de verre, pour mosaïques)")</f>
        <v xml:space="preserve">   Cubes, dés et autre verrerie même sur support, pour mosaïques ou décorations simil. (sauf panneaux et autres motifs décoratifs prêts à l'emploi en cubes de verre, pour mosaïques)</v>
      </c>
      <c r="C2293">
        <v>6509295</v>
      </c>
      <c r="D2293">
        <v>36446</v>
      </c>
    </row>
    <row r="2294" spans="1:4" x14ac:dyDescent="0.25">
      <c r="A2294" t="str">
        <f>T("   701690")</f>
        <v xml:space="preserve">   701690</v>
      </c>
      <c r="B2294" t="s">
        <v>330</v>
      </c>
      <c r="C2294">
        <v>33576038</v>
      </c>
      <c r="D2294">
        <v>200182</v>
      </c>
    </row>
    <row r="2295" spans="1:4" x14ac:dyDescent="0.25">
      <c r="A2295" t="str">
        <f>T("   701790")</f>
        <v xml:space="preserve">   701790</v>
      </c>
      <c r="B2295" t="s">
        <v>332</v>
      </c>
      <c r="C2295">
        <v>4390999</v>
      </c>
      <c r="D2295">
        <v>2195</v>
      </c>
    </row>
    <row r="2296" spans="1:4" x14ac:dyDescent="0.25">
      <c r="A2296" t="str">
        <f>T("   702000")</f>
        <v xml:space="preserve">   702000</v>
      </c>
      <c r="B2296" t="str">
        <f>T("   Ouvrages en verre n.d.a.")</f>
        <v xml:space="preserve">   Ouvrages en verre n.d.a.</v>
      </c>
      <c r="C2296">
        <v>15224319</v>
      </c>
      <c r="D2296">
        <v>41228</v>
      </c>
    </row>
    <row r="2297" spans="1:4" x14ac:dyDescent="0.25">
      <c r="A2297" t="str">
        <f>T("   711790")</f>
        <v xml:space="preserve">   711790</v>
      </c>
      <c r="B2297" t="str">
        <f>T("   Bijouterie de fantaisie (autre qu'en métaux communs, même argentés, dorés ou platinés)")</f>
        <v xml:space="preserve">   Bijouterie de fantaisie (autre qu'en métaux communs, même argentés, dorés ou platinés)</v>
      </c>
      <c r="C2297">
        <v>12026515</v>
      </c>
      <c r="D2297">
        <v>11668</v>
      </c>
    </row>
    <row r="2298" spans="1:4" x14ac:dyDescent="0.25">
      <c r="A2298" t="str">
        <f>T("   720390")</f>
        <v xml:space="preserve">   720390</v>
      </c>
      <c r="B2298" t="str">
        <f>T("   PRODUITS FERREUX SPONGIEUX OBTENUS PAR ATOMISATION DE PRODUITS FERREUX BRUTS FONDUS ET FER, D'UNE PURETÉ &gt;= 99,94%, EN MORCEAUX, BOULETTES OU FORMES SIMIL.")</f>
        <v xml:space="preserve">   PRODUITS FERREUX SPONGIEUX OBTENUS PAR ATOMISATION DE PRODUITS FERREUX BRUTS FONDUS ET FER, D'UNE PURETÉ &gt;= 99,94%, EN MORCEAUX, BOULETTES OU FORMES SIMIL.</v>
      </c>
      <c r="C2298">
        <v>39665000</v>
      </c>
      <c r="D2298">
        <v>63000</v>
      </c>
    </row>
    <row r="2299" spans="1:4" x14ac:dyDescent="0.25">
      <c r="A2299" t="str">
        <f>T("   720890")</f>
        <v xml:space="preserve">   720890</v>
      </c>
      <c r="B2299" t="str">
        <f>T("   PRODUITS LAMINÉS PLATS, EN FER OU EN ACIER, D'UNE LARGEUR &gt;= 600 MM, LAMINÉS À CHAUD ET AYANT SUBI CERTAINES OUVRAISONS PLUS POUSSÉES, MAIS NON-PLAQUÉS NI REVÊTUS")</f>
        <v xml:space="preserve">   PRODUITS LAMINÉS PLATS, EN FER OU EN ACIER, D'UNE LARGEUR &gt;= 600 MM, LAMINÉS À CHAUD ET AYANT SUBI CERTAINES OUVRAISONS PLUS POUSSÉES, MAIS NON-PLAQUÉS NI REVÊTUS</v>
      </c>
      <c r="C2299">
        <v>131841664</v>
      </c>
      <c r="D2299">
        <v>317492</v>
      </c>
    </row>
    <row r="2300" spans="1:4" x14ac:dyDescent="0.25">
      <c r="A2300" t="str">
        <f>T("   720917")</f>
        <v xml:space="preserve">   720917</v>
      </c>
      <c r="B2300" t="str">
        <f>T("   PRODUITS LAMINÉS PLATS, EN FER OU EN ACIERS NON-ALLIÉS, D'UNE LARGEUR &gt;= 600 MM, NON-PLAQUÉS NI REVÊTUS, ENROULÉS, SIMPL. LAMINÉS À FROID, D'UNE ÉPAISSEUR &gt;= 0,5 MM MAIS &lt;= 1 MM")</f>
        <v xml:space="preserve">   PRODUITS LAMINÉS PLATS, EN FER OU EN ACIERS NON-ALLIÉS, D'UNE LARGEUR &gt;= 600 MM, NON-PLAQUÉS NI REVÊTUS, ENROULÉS, SIMPL. LAMINÉS À FROID, D'UNE ÉPAISSEUR &gt;= 0,5 MM MAIS &lt;= 1 MM</v>
      </c>
      <c r="C2300">
        <v>26857654</v>
      </c>
      <c r="D2300">
        <v>54000</v>
      </c>
    </row>
    <row r="2301" spans="1:4" x14ac:dyDescent="0.25">
      <c r="A2301" t="str">
        <f>T("   720927")</f>
        <v xml:space="preserve">   720927</v>
      </c>
      <c r="B2301" t="str">
        <f>T("   PRODUITS LAMINÉS PLATS, EN FER OU EN ACIERS NON-ALLIÉS, D'UNE LARGEUR &gt;= 600 MM, NON-PLAQUÉS NI REVÊTUS, NON-ENROULÉS, SIMPL. LAMINÉS À FROID, D'UNE ÉPAISSEUR &gt;= 0,5 MM MAIS &lt;= 1 MM")</f>
        <v xml:space="preserve">   PRODUITS LAMINÉS PLATS, EN FER OU EN ACIERS NON-ALLIÉS, D'UNE LARGEUR &gt;= 600 MM, NON-PLAQUÉS NI REVÊTUS, NON-ENROULÉS, SIMPL. LAMINÉS À FROID, D'UNE ÉPAISSEUR &gt;= 0,5 MM MAIS &lt;= 1 MM</v>
      </c>
      <c r="C2301">
        <v>5292000</v>
      </c>
      <c r="D2301">
        <v>36020</v>
      </c>
    </row>
    <row r="2302" spans="1:4" x14ac:dyDescent="0.25">
      <c r="A2302" t="str">
        <f>T("   721030")</f>
        <v xml:space="preserve">   721030</v>
      </c>
      <c r="B2302" t="str">
        <f>T("   Produits laminés plats, en fer ou en aciers non alliés, d'une largeur &gt;= 600 mm, laminés à chaud ou à froid, zingués électrolytiquement")</f>
        <v xml:space="preserve">   Produits laminés plats, en fer ou en aciers non alliés, d'une largeur &gt;= 600 mm, laminés à chaud ou à froid, zingués électrolytiquement</v>
      </c>
      <c r="C2302">
        <v>1592660</v>
      </c>
      <c r="D2302">
        <v>4240</v>
      </c>
    </row>
    <row r="2303" spans="1:4" x14ac:dyDescent="0.25">
      <c r="A2303" t="str">
        <f>T("   721041")</f>
        <v xml:space="preserve">   721041</v>
      </c>
      <c r="B2303" t="str">
        <f>T("   Produits laminés plats, en fer ou en aciers non alliés, d'une largeur &gt;= 600 mm, laminés à chaud ou à froid, zingués, ondulés (à l'excl. des produits zingués électrolytiquement)")</f>
        <v xml:space="preserve">   Produits laminés plats, en fer ou en aciers non alliés, d'une largeur &gt;= 600 mm, laminés à chaud ou à froid, zingués, ondulés (à l'excl. des produits zingués électrolytiquement)</v>
      </c>
      <c r="C2303">
        <v>1082247934</v>
      </c>
      <c r="D2303">
        <v>3909709</v>
      </c>
    </row>
    <row r="2304" spans="1:4" x14ac:dyDescent="0.25">
      <c r="A2304" t="str">
        <f>T("   721049")</f>
        <v xml:space="preserve">   721049</v>
      </c>
      <c r="B2304" t="str">
        <f>T("   Produits laminés plats, en fer ou en aciers non alliés, d'une largeur &gt;= 600 mm, laminés à chaud ou à froid, zingués, non ondulés (à l'excl. des produits zingués électrolytiquement)")</f>
        <v xml:space="preserve">   Produits laminés plats, en fer ou en aciers non alliés, d'une largeur &gt;= 600 mm, laminés à chaud ou à froid, zingués, non ondulés (à l'excl. des produits zingués électrolytiquement)</v>
      </c>
      <c r="C2304">
        <v>122153181</v>
      </c>
      <c r="D2304">
        <v>429426</v>
      </c>
    </row>
    <row r="2305" spans="1:4" x14ac:dyDescent="0.25">
      <c r="A2305" t="str">
        <f>T("   721069")</f>
        <v xml:space="preserve">   721069</v>
      </c>
      <c r="B2305" t="str">
        <f>T("   Produits laminés plats, en fer ou aciers non alliés, d'une largeur &gt;= 600 mm, laminés à chaud ou à froid, revêtus d'aluminium (autres que revêtus d'alliages d'aluminium et de zinc)")</f>
        <v xml:space="preserve">   Produits laminés plats, en fer ou aciers non alliés, d'une largeur &gt;= 600 mm, laminés à chaud ou à froid, revêtus d'aluminium (autres que revêtus d'alliages d'aluminium et de zinc)</v>
      </c>
      <c r="C2305">
        <v>798640483</v>
      </c>
      <c r="D2305">
        <v>1828885</v>
      </c>
    </row>
    <row r="2306" spans="1:4" x14ac:dyDescent="0.25">
      <c r="A2306" t="str">
        <f>T("   721210")</f>
        <v xml:space="preserve">   721210</v>
      </c>
      <c r="B2306" t="str">
        <f>T("   PRODUITS LAMINÉS PLATS, EN FER OU EN ACIERS NON-ALLIÉS, D'UNE LARGEUR &lt; 600 MM, LAMINÉS À CHAUD OU À FROID, ÉTAMÉS")</f>
        <v xml:space="preserve">   PRODUITS LAMINÉS PLATS, EN FER OU EN ACIERS NON-ALLIÉS, D'UNE LARGEUR &lt; 600 MM, LAMINÉS À CHAUD OU À FROID, ÉTAMÉS</v>
      </c>
      <c r="C2306">
        <v>32229263</v>
      </c>
      <c r="D2306">
        <v>77648</v>
      </c>
    </row>
    <row r="2307" spans="1:4" x14ac:dyDescent="0.25">
      <c r="A2307" t="str">
        <f>T("   721240")</f>
        <v xml:space="preserve">   721240</v>
      </c>
      <c r="B2307" t="str">
        <f>T("   PRODUITS LAMINÉS PLATS, EN FER OU EN ACIERS NON-ALLIÉS, D'UNE LARGEUR &lt; 600 MM, LAMINÉS À CHAUD OU À FROID, PEINTS, VERNIS OU REVÊTUS DE MATIÈRES PLASTIQUES")</f>
        <v xml:space="preserve">   PRODUITS LAMINÉS PLATS, EN FER OU EN ACIERS NON-ALLIÉS, D'UNE LARGEUR &lt; 600 MM, LAMINÉS À CHAUD OU À FROID, PEINTS, VERNIS OU REVÊTUS DE MATIÈRES PLASTIQUES</v>
      </c>
      <c r="C2307">
        <v>19624296</v>
      </c>
      <c r="D2307">
        <v>78082</v>
      </c>
    </row>
    <row r="2308" spans="1:4" x14ac:dyDescent="0.25">
      <c r="A2308" t="str">
        <f>T("   721399")</f>
        <v xml:space="preserve">   721399</v>
      </c>
      <c r="B2308" t="s">
        <v>338</v>
      </c>
      <c r="C2308">
        <v>2457226</v>
      </c>
      <c r="D2308">
        <v>5731</v>
      </c>
    </row>
    <row r="2309" spans="1:4" x14ac:dyDescent="0.25">
      <c r="A2309" t="str">
        <f>T("   721499")</f>
        <v xml:space="preserve">   721499</v>
      </c>
      <c r="B2309" t="s">
        <v>341</v>
      </c>
      <c r="C2309">
        <v>6777928</v>
      </c>
      <c r="D2309">
        <v>20040</v>
      </c>
    </row>
    <row r="2310" spans="1:4" x14ac:dyDescent="0.25">
      <c r="A2310" t="str">
        <f>T("   721590")</f>
        <v xml:space="preserve">   721590</v>
      </c>
      <c r="B2310" t="str">
        <f>T("   Barres en fer ou en aciers non alliés, obtenues ou parachevées à froid et ayant subi certaines ouvraisons plus poussées ou obtenues à chaud et ayant subi certaines ouvraisons plus poussées, n.d.a.")</f>
        <v xml:space="preserve">   Barres en fer ou en aciers non alliés, obtenues ou parachevées à froid et ayant subi certaines ouvraisons plus poussées ou obtenues à chaud et ayant subi certaines ouvraisons plus poussées, n.d.a.</v>
      </c>
      <c r="C2310">
        <v>2879438751</v>
      </c>
      <c r="D2310">
        <v>6602275</v>
      </c>
    </row>
    <row r="2311" spans="1:4" x14ac:dyDescent="0.25">
      <c r="A2311" t="str">
        <f>T("   721640")</f>
        <v xml:space="preserve">   721640</v>
      </c>
      <c r="B2311" t="str">
        <f>T("   PROFILÉS EN L OU EN T, EN FER OU EN ACIERS NON-ALLIÉS, SIMPL. LAMINÉS OU FILÉS À CHAUD, D'UNE HAUTEUR &gt;= 80 MM")</f>
        <v xml:space="preserve">   PROFILÉS EN L OU EN T, EN FER OU EN ACIERS NON-ALLIÉS, SIMPL. LAMINÉS OU FILÉS À CHAUD, D'UNE HAUTEUR &gt;= 80 MM</v>
      </c>
      <c r="C2311">
        <v>4924363</v>
      </c>
      <c r="D2311">
        <v>18000</v>
      </c>
    </row>
    <row r="2312" spans="1:4" x14ac:dyDescent="0.25">
      <c r="A2312" t="str">
        <f>T("   721669")</f>
        <v xml:space="preserve">   721669</v>
      </c>
      <c r="B2312" t="str">
        <f>T("   Profilés en fer ou en aciers non alliés, simplement obtenus ou parachevés à froid (à l'excl. des profilés obtenus à partir de produits laminés plats et des tôles nervurées)")</f>
        <v xml:space="preserve">   Profilés en fer ou en aciers non alliés, simplement obtenus ou parachevés à froid (à l'excl. des profilés obtenus à partir de produits laminés plats et des tôles nervurées)</v>
      </c>
      <c r="C2312">
        <v>204682</v>
      </c>
      <c r="D2312">
        <v>159</v>
      </c>
    </row>
    <row r="2313" spans="1:4" x14ac:dyDescent="0.25">
      <c r="A2313" t="str">
        <f>T("   721710")</f>
        <v xml:space="preserve">   721710</v>
      </c>
      <c r="B2313" t="str">
        <f>T("   FILS EN FER OU EN ACIERS NON-ALLIÉS, ENROULÉS, NON-REVÊTUS, MÊME POLIS (À L'EXCL. DU FIL MACHINE)")</f>
        <v xml:space="preserve">   FILS EN FER OU EN ACIERS NON-ALLIÉS, ENROULÉS, NON-REVÊTUS, MÊME POLIS (À L'EXCL. DU FIL MACHINE)</v>
      </c>
      <c r="C2313">
        <v>12728488</v>
      </c>
      <c r="D2313">
        <v>72160</v>
      </c>
    </row>
    <row r="2314" spans="1:4" x14ac:dyDescent="0.25">
      <c r="A2314" t="str">
        <f>T("   721720")</f>
        <v xml:space="preserve">   721720</v>
      </c>
      <c r="B2314" t="str">
        <f>T("   FILS EN FER OU EN ACIERS NON-ALLIÉS, ENROULÉS, ZINGUÉS (À L'EXCL. DU FIL MACHINE)")</f>
        <v xml:space="preserve">   FILS EN FER OU EN ACIERS NON-ALLIÉS, ENROULÉS, ZINGUÉS (À L'EXCL. DU FIL MACHINE)</v>
      </c>
      <c r="C2314">
        <v>8082498</v>
      </c>
      <c r="D2314">
        <v>20016</v>
      </c>
    </row>
    <row r="2315" spans="1:4" x14ac:dyDescent="0.25">
      <c r="A2315" t="str">
        <f>T("   721790")</f>
        <v xml:space="preserve">   721790</v>
      </c>
      <c r="B2315" t="str">
        <f>T("   FILS EN FER OU EN ACIERS NON-ALLIÉS, ENROULÉS, REVÊTUS (À L'EXCL. DU FIL MACHINE AINSI QUE DES FILS REVÊTUS DE MÉTAUX COMMUNS)")</f>
        <v xml:space="preserve">   FILS EN FER OU EN ACIERS NON-ALLIÉS, ENROULÉS, REVÊTUS (À L'EXCL. DU FIL MACHINE AINSI QUE DES FILS REVÊTUS DE MÉTAUX COMMUNS)</v>
      </c>
      <c r="C2315">
        <v>9751999</v>
      </c>
      <c r="D2315">
        <v>37966</v>
      </c>
    </row>
    <row r="2316" spans="1:4" x14ac:dyDescent="0.25">
      <c r="A2316" t="str">
        <f>T("   722240")</f>
        <v xml:space="preserve">   722240</v>
      </c>
      <c r="B2316" t="str">
        <f>T("   Profilés, en aciers inoxydables, n.d.a.")</f>
        <v xml:space="preserve">   Profilés, en aciers inoxydables, n.d.a.</v>
      </c>
      <c r="C2316">
        <v>7204736</v>
      </c>
      <c r="D2316">
        <v>13296</v>
      </c>
    </row>
    <row r="2317" spans="1:4" x14ac:dyDescent="0.25">
      <c r="A2317" t="str">
        <f>T("   722300")</f>
        <v xml:space="preserve">   722300</v>
      </c>
      <c r="B2317" t="str">
        <f>T("   Fils en aciers inoxydables, en couronnes ou rouleaux (autres que fil machine)")</f>
        <v xml:space="preserve">   Fils en aciers inoxydables, en couronnes ou rouleaux (autres que fil machine)</v>
      </c>
      <c r="C2317">
        <v>4428386</v>
      </c>
      <c r="D2317">
        <v>27000</v>
      </c>
    </row>
    <row r="2318" spans="1:4" x14ac:dyDescent="0.25">
      <c r="A2318" t="str">
        <f>T("   722699")</f>
        <v xml:space="preserve">   722699</v>
      </c>
      <c r="B2318" t="str">
        <f>T("   PRODUITS LAMINÉS PLATS EN ACIERS ALLIÉS AUTRES QU'ACIERS INOXYDABLES, LARGEUR &lt; 600 MM, LAMINÉS À CHAUD OU À FROID ET AUTREMENT TRAITÉS (SAUF PRODUITS EN ACIERS À COUPE RAPIDE OU ACIERS AU SILICIUM DITS -MAGNÉTIQUES-)")</f>
        <v xml:space="preserve">   PRODUITS LAMINÉS PLATS EN ACIERS ALLIÉS AUTRES QU'ACIERS INOXYDABLES, LARGEUR &lt; 600 MM, LAMINÉS À CHAUD OU À FROID ET AUTREMENT TRAITÉS (SAUF PRODUITS EN ACIERS À COUPE RAPIDE OU ACIERS AU SILICIUM DITS -MAGNÉTIQUES-)</v>
      </c>
      <c r="C2318">
        <v>42492461</v>
      </c>
      <c r="D2318">
        <v>11445</v>
      </c>
    </row>
    <row r="2319" spans="1:4" x14ac:dyDescent="0.25">
      <c r="A2319" t="str">
        <f>T("   730120")</f>
        <v xml:space="preserve">   730120</v>
      </c>
      <c r="B2319" t="str">
        <f>T("   Profilés en fer ou en acier, obtenus par soudage")</f>
        <v xml:space="preserve">   Profilés en fer ou en acier, obtenus par soudage</v>
      </c>
      <c r="C2319">
        <v>6715584</v>
      </c>
      <c r="D2319">
        <v>23030</v>
      </c>
    </row>
    <row r="2320" spans="1:4" x14ac:dyDescent="0.25">
      <c r="A2320" t="str">
        <f>T("   730300")</f>
        <v xml:space="preserve">   730300</v>
      </c>
      <c r="B2320" t="str">
        <f>T("   Tubes, tuyaux et profilés creux, en fonte")</f>
        <v xml:space="preserve">   Tubes, tuyaux et profilés creux, en fonte</v>
      </c>
      <c r="C2320">
        <v>3088966</v>
      </c>
      <c r="D2320">
        <v>2200</v>
      </c>
    </row>
    <row r="2321" spans="1:4" x14ac:dyDescent="0.25">
      <c r="A2321" t="str">
        <f>T("   730449")</f>
        <v xml:space="preserve">   730449</v>
      </c>
      <c r="B2321" t="str">
        <f>T("   TUBES, TUYAUX ET PROFILÉS CREUX, SANS SOUDURE, DE SECTION CIRCULAIRE, EN ACIERS INOXYDABLES, NON-ÉTIRÉS OU LAMINÉS À FROID (AUTRES QUE LES TUBES DES TYPES UTILISÉS POUR LES OLÉODUCS OU LES GAZODUCS OU POUR L'EXTRACTION DU PÉTROLE OU DU GAZ)")</f>
        <v xml:space="preserve">   TUBES, TUYAUX ET PROFILÉS CREUX, SANS SOUDURE, DE SECTION CIRCULAIRE, EN ACIERS INOXYDABLES, NON-ÉTIRÉS OU LAMINÉS À FROID (AUTRES QUE LES TUBES DES TYPES UTILISÉS POUR LES OLÉODUCS OU LES GAZODUCS OU POUR L'EXTRACTION DU PÉTROLE OU DU GAZ)</v>
      </c>
      <c r="C2321">
        <v>31464407</v>
      </c>
      <c r="D2321">
        <v>108547</v>
      </c>
    </row>
    <row r="2322" spans="1:4" x14ac:dyDescent="0.25">
      <c r="A2322" t="str">
        <f>T("   730490")</f>
        <v xml:space="preserve">   730490</v>
      </c>
      <c r="B2322" t="str">
        <f>T("   Tubes, tuyaux et profilés creux, sans soudure, de section autre que circulaire, en fer (à l'excl. de la fonte) ou en acier")</f>
        <v xml:space="preserve">   Tubes, tuyaux et profilés creux, sans soudure, de section autre que circulaire, en fer (à l'excl. de la fonte) ou en acier</v>
      </c>
      <c r="C2322">
        <v>340041719</v>
      </c>
      <c r="D2322">
        <v>902044</v>
      </c>
    </row>
    <row r="2323" spans="1:4" x14ac:dyDescent="0.25">
      <c r="A2323" t="str">
        <f>T("   730531")</f>
        <v xml:space="preserve">   730531</v>
      </c>
      <c r="B2323" t="str">
        <f>T("   Tubes et tuyaux, de section circulaire, d'un diamètre extérieur &gt; 406,4 mm, en fer ou en acier, soudés longitudinalement (sauf tubes et tuyaux des types utilisés pour les oléoducs ou gazoducs ou pour l'extraction de pétrole ou de gaz)")</f>
        <v xml:space="preserve">   Tubes et tuyaux, de section circulaire, d'un diamètre extérieur &gt; 406,4 mm, en fer ou en acier, soudés longitudinalement (sauf tubes et tuyaux des types utilisés pour les oléoducs ou gazoducs ou pour l'extraction de pétrole ou de gaz)</v>
      </c>
      <c r="C2323">
        <v>17477677</v>
      </c>
      <c r="D2323">
        <v>54000</v>
      </c>
    </row>
    <row r="2324" spans="1:4" x14ac:dyDescent="0.25">
      <c r="A2324" t="str">
        <f>T("   730640")</f>
        <v xml:space="preserve">   730640</v>
      </c>
      <c r="B2324" t="s">
        <v>346</v>
      </c>
      <c r="C2324">
        <v>12264170</v>
      </c>
      <c r="D2324">
        <v>77755</v>
      </c>
    </row>
    <row r="2325" spans="1:4" x14ac:dyDescent="0.25">
      <c r="A2325" t="str">
        <f>T("   730650")</f>
        <v xml:space="preserve">   730650</v>
      </c>
      <c r="B2325" t="s">
        <v>347</v>
      </c>
      <c r="C2325">
        <v>96587457</v>
      </c>
      <c r="D2325">
        <v>388244</v>
      </c>
    </row>
    <row r="2326" spans="1:4" x14ac:dyDescent="0.25">
      <c r="A2326" t="str">
        <f>T("   730660")</f>
        <v xml:space="preserve">   730660</v>
      </c>
      <c r="B2326" t="s">
        <v>348</v>
      </c>
      <c r="C2326">
        <v>144152529</v>
      </c>
      <c r="D2326">
        <v>419284</v>
      </c>
    </row>
    <row r="2327" spans="1:4" x14ac:dyDescent="0.25">
      <c r="A2327" t="str">
        <f>T("   730690")</f>
        <v xml:space="preserve">   730690</v>
      </c>
      <c r="B2327" t="str">
        <f>T("   Tubes, tuyaux et profilés creux [p.ex. rivés, agrafés ou à bords simplement rapprochés], en fer ou en acier (sauf tubes sans soudure ou soudés et tubes de sections intérieure et extérieure circulaires et d'un diamètre extérieur &gt; 406,4 mm)")</f>
        <v xml:space="preserve">   Tubes, tuyaux et profilés creux [p.ex. rivés, agrafés ou à bords simplement rapprochés], en fer ou en acier (sauf tubes sans soudure ou soudés et tubes de sections intérieure et extérieure circulaires et d'un diamètre extérieur &gt; 406,4 mm)</v>
      </c>
      <c r="C2327">
        <v>385202609</v>
      </c>
      <c r="D2327">
        <v>823248</v>
      </c>
    </row>
    <row r="2328" spans="1:4" x14ac:dyDescent="0.25">
      <c r="A2328" t="str">
        <f>T("   730711")</f>
        <v xml:space="preserve">   730711</v>
      </c>
      <c r="B2328" t="str">
        <f>T("   ACCESSOIRES DE TUYAUTERIE MOULÉS EN FONTE NON-MALLÉABLE")</f>
        <v xml:space="preserve">   ACCESSOIRES DE TUYAUTERIE MOULÉS EN FONTE NON-MALLÉABLE</v>
      </c>
      <c r="C2328">
        <v>38712791</v>
      </c>
      <c r="D2328">
        <v>19550</v>
      </c>
    </row>
    <row r="2329" spans="1:4" x14ac:dyDescent="0.25">
      <c r="A2329" t="str">
        <f>T("   730719")</f>
        <v xml:space="preserve">   730719</v>
      </c>
      <c r="B2329" t="str">
        <f>T("   Accessoires de tuyauterie moulés en fonte, fer ou acier (sauf fonte non-malléable)")</f>
        <v xml:space="preserve">   Accessoires de tuyauterie moulés en fonte, fer ou acier (sauf fonte non-malléable)</v>
      </c>
      <c r="C2329">
        <v>85048815</v>
      </c>
      <c r="D2329">
        <v>22591</v>
      </c>
    </row>
    <row r="2330" spans="1:4" x14ac:dyDescent="0.25">
      <c r="A2330" t="str">
        <f>T("   730820")</f>
        <v xml:space="preserve">   730820</v>
      </c>
      <c r="B2330" t="str">
        <f>T("   Tours et pylônes, en fer ou en acier")</f>
        <v xml:space="preserve">   Tours et pylônes, en fer ou en acier</v>
      </c>
      <c r="C2330">
        <v>293439536</v>
      </c>
      <c r="D2330">
        <v>391263</v>
      </c>
    </row>
    <row r="2331" spans="1:4" x14ac:dyDescent="0.25">
      <c r="A2331" t="str">
        <f>T("   730830")</f>
        <v xml:space="preserve">   730830</v>
      </c>
      <c r="B2331" t="str">
        <f>T("   Portes, fenêtres et leurs cadres et chambranles ainsi que leurs seuils, en fer ou en acier")</f>
        <v xml:space="preserve">   Portes, fenêtres et leurs cadres et chambranles ainsi que leurs seuils, en fer ou en acier</v>
      </c>
      <c r="C2331">
        <v>19314101</v>
      </c>
      <c r="D2331">
        <v>66377</v>
      </c>
    </row>
    <row r="2332" spans="1:4" x14ac:dyDescent="0.25">
      <c r="A2332" t="str">
        <f>T("   730840")</f>
        <v xml:space="preserve">   730840</v>
      </c>
      <c r="B2332" t="str">
        <f>T("   Matériel d'échafaudage, de coffrage ou d'étayage, en fer ou en acier (autre que palplanches assemblées et coffrages pour béton, qui présentent les caractéristiques de moules)")</f>
        <v xml:space="preserve">   Matériel d'échafaudage, de coffrage ou d'étayage, en fer ou en acier (autre que palplanches assemblées et coffrages pour béton, qui présentent les caractéristiques de moules)</v>
      </c>
      <c r="C2332">
        <v>207692348</v>
      </c>
      <c r="D2332">
        <v>337194</v>
      </c>
    </row>
    <row r="2333" spans="1:4" x14ac:dyDescent="0.25">
      <c r="A2333" t="str">
        <f>T("   730890")</f>
        <v xml:space="preserve">   730890</v>
      </c>
      <c r="B2333" t="s">
        <v>349</v>
      </c>
      <c r="C2333">
        <v>389101266</v>
      </c>
      <c r="D2333">
        <v>543438</v>
      </c>
    </row>
    <row r="2334" spans="1:4" x14ac:dyDescent="0.25">
      <c r="A2334" t="str">
        <f>T("   730900")</f>
        <v xml:space="preserve">   730900</v>
      </c>
      <c r="B2334" t="s">
        <v>350</v>
      </c>
      <c r="C2334">
        <v>143871</v>
      </c>
      <c r="D2334">
        <v>909</v>
      </c>
    </row>
    <row r="2335" spans="1:4" x14ac:dyDescent="0.25">
      <c r="A2335" t="str">
        <f>T("   731021")</f>
        <v xml:space="preserve">   731021</v>
      </c>
      <c r="B2335" t="str">
        <f>T("   Boîtes en fer ou en acier, contenance &lt; 50 l, à fermer par soudage ou sertissage (sauf pour gaz comprimés ou liquéfiés)")</f>
        <v xml:space="preserve">   Boîtes en fer ou en acier, contenance &lt; 50 l, à fermer par soudage ou sertissage (sauf pour gaz comprimés ou liquéfiés)</v>
      </c>
      <c r="C2335">
        <v>45073241</v>
      </c>
      <c r="D2335">
        <v>105725</v>
      </c>
    </row>
    <row r="2336" spans="1:4" x14ac:dyDescent="0.25">
      <c r="A2336" t="str">
        <f>T("   731100")</f>
        <v xml:space="preserve">   731100</v>
      </c>
      <c r="B2336" t="str">
        <f>T("   Récipients en fonte, fer ou acier, pour gaz comprimés ou liquéfiés (autres que conteneurs spécialement conçus ou équipés pour un ou plusieurs moyens de transport)")</f>
        <v xml:space="preserve">   Récipients en fonte, fer ou acier, pour gaz comprimés ou liquéfiés (autres que conteneurs spécialement conçus ou équipés pour un ou plusieurs moyens de transport)</v>
      </c>
      <c r="C2336">
        <v>21751465</v>
      </c>
      <c r="D2336">
        <v>17000</v>
      </c>
    </row>
    <row r="2337" spans="1:4" x14ac:dyDescent="0.25">
      <c r="A2337" t="str">
        <f>T("   731210")</f>
        <v xml:space="preserve">   731210</v>
      </c>
      <c r="B2337" t="str">
        <f>T("   Torons et câbles en fer ou en acier (sauf produits isolés pour l'électricité et sauf fil barbelé pour clôtures et ronces artificielles)")</f>
        <v xml:space="preserve">   Torons et câbles en fer ou en acier (sauf produits isolés pour l'électricité et sauf fil barbelé pour clôtures et ronces artificielles)</v>
      </c>
      <c r="C2337">
        <v>128526179</v>
      </c>
      <c r="D2337">
        <v>26031</v>
      </c>
    </row>
    <row r="2338" spans="1:4" x14ac:dyDescent="0.25">
      <c r="A2338" t="str">
        <f>T("   731290")</f>
        <v xml:space="preserve">   731290</v>
      </c>
      <c r="B2338" t="str">
        <f>T("   Tresses, élingues et simil., en fer ou en acier (sauf produits isolés pour l'électricité)")</f>
        <v xml:space="preserve">   Tresses, élingues et simil., en fer ou en acier (sauf produits isolés pour l'électricité)</v>
      </c>
      <c r="C2338">
        <v>1754526</v>
      </c>
      <c r="D2338">
        <v>4000</v>
      </c>
    </row>
    <row r="2339" spans="1:4" x14ac:dyDescent="0.25">
      <c r="A2339" t="str">
        <f>T("   731300")</f>
        <v xml:space="preserve">   731300</v>
      </c>
      <c r="B2339" t="str">
        <f>T("   Ronces artificielles en fer ou en acier; torsades, barbelées ou non, en fils ou en feuillard de fer ou d'acier, des types utilisés pour les clôtures")</f>
        <v xml:space="preserve">   Ronces artificielles en fer ou en acier; torsades, barbelées ou non, en fils ou en feuillard de fer ou d'acier, des types utilisés pour les clôtures</v>
      </c>
      <c r="C2339">
        <v>6663484</v>
      </c>
      <c r="D2339">
        <v>14839</v>
      </c>
    </row>
    <row r="2340" spans="1:4" x14ac:dyDescent="0.25">
      <c r="A2340" t="str">
        <f>T("   731420")</f>
        <v xml:space="preserve">   731420</v>
      </c>
      <c r="B2340" t="str">
        <f>T("   Grillages et treillis, soudés aux points de rencontre, d'une surface de mailles &gt;= 100 cm², en fils de fer ou d'acier, dont la plus grande dimension de la coupe transversale est &gt;= 3 mm")</f>
        <v xml:space="preserve">   Grillages et treillis, soudés aux points de rencontre, d'une surface de mailles &gt;= 100 cm², en fils de fer ou d'acier, dont la plus grande dimension de la coupe transversale est &gt;= 3 mm</v>
      </c>
      <c r="C2340">
        <v>1677560</v>
      </c>
      <c r="D2340">
        <v>3100</v>
      </c>
    </row>
    <row r="2341" spans="1:4" x14ac:dyDescent="0.25">
      <c r="A2341" t="str">
        <f>T("   731439")</f>
        <v xml:space="preserve">   731439</v>
      </c>
      <c r="B2341" t="str">
        <f>T("   Grillages et treillis, en fils de fer ou d'acier, soudés aux points de rencontre (sauf en fils dont la plus grande dimension de la coupe transversale est &gt;= 3 mm avec une surface de mailles &gt;= 100 cm² et autres que zingués)")</f>
        <v xml:space="preserve">   Grillages et treillis, en fils de fer ou d'acier, soudés aux points de rencontre (sauf en fils dont la plus grande dimension de la coupe transversale est &gt;= 3 mm avec une surface de mailles &gt;= 100 cm² et autres que zingués)</v>
      </c>
      <c r="C2341">
        <v>11906111</v>
      </c>
      <c r="D2341">
        <v>42317</v>
      </c>
    </row>
    <row r="2342" spans="1:4" x14ac:dyDescent="0.25">
      <c r="A2342" t="str">
        <f>T("   731441")</f>
        <v xml:space="preserve">   731441</v>
      </c>
      <c r="B2342" t="str">
        <f>T("   GRILLAGES ET TREILLIS, EN FILS DE FER OU D'ACIER, NON-SOUDÉS AUX POINTS DE RENCONTRE, ZINGUÉS")</f>
        <v xml:space="preserve">   GRILLAGES ET TREILLIS, EN FILS DE FER OU D'ACIER, NON-SOUDÉS AUX POINTS DE RENCONTRE, ZINGUÉS</v>
      </c>
      <c r="C2342">
        <v>278205</v>
      </c>
      <c r="D2342">
        <v>7700</v>
      </c>
    </row>
    <row r="2343" spans="1:4" x14ac:dyDescent="0.25">
      <c r="A2343" t="str">
        <f>T("   731449")</f>
        <v xml:space="preserve">   731449</v>
      </c>
      <c r="B2343" t="str">
        <f>T("   Toiles métalliques nontissées, grillages et treillis, en fils de fer ou d'acier, non soudés aux points de rencontre (sauf zingués ou recouverts de matières plastiques)")</f>
        <v xml:space="preserve">   Toiles métalliques nontissées, grillages et treillis, en fils de fer ou d'acier, non soudés aux points de rencontre (sauf zingués ou recouverts de matières plastiques)</v>
      </c>
      <c r="C2343">
        <v>20375517</v>
      </c>
      <c r="D2343">
        <v>76154</v>
      </c>
    </row>
    <row r="2344" spans="1:4" x14ac:dyDescent="0.25">
      <c r="A2344" t="str">
        <f>T("   731511")</f>
        <v xml:space="preserve">   731511</v>
      </c>
      <c r="B2344" t="str">
        <f>T("   Chaînes à rouleaux en fonte, fer ou acier")</f>
        <v xml:space="preserve">   Chaînes à rouleaux en fonte, fer ou acier</v>
      </c>
      <c r="C2344">
        <v>4502017</v>
      </c>
      <c r="D2344">
        <v>12868</v>
      </c>
    </row>
    <row r="2345" spans="1:4" x14ac:dyDescent="0.25">
      <c r="A2345" t="str">
        <f>T("   731519")</f>
        <v xml:space="preserve">   731519</v>
      </c>
      <c r="B2345" t="str">
        <f>T("   Parties de chaînes à maillons articulés en fonte, fer ou acier")</f>
        <v xml:space="preserve">   Parties de chaînes à maillons articulés en fonte, fer ou acier</v>
      </c>
      <c r="C2345">
        <v>1704089</v>
      </c>
      <c r="D2345">
        <v>1000</v>
      </c>
    </row>
    <row r="2346" spans="1:4" x14ac:dyDescent="0.25">
      <c r="A2346" t="str">
        <f>T("   731600")</f>
        <v xml:space="preserve">   731600</v>
      </c>
      <c r="B2346" t="str">
        <f>T("   Ancres, grappins et leurs parties, en fonte, fer ou acier")</f>
        <v xml:space="preserve">   Ancres, grappins et leurs parties, en fonte, fer ou acier</v>
      </c>
      <c r="C2346">
        <v>2938045</v>
      </c>
      <c r="D2346">
        <v>6950</v>
      </c>
    </row>
    <row r="2347" spans="1:4" x14ac:dyDescent="0.25">
      <c r="A2347" t="str">
        <f>T("   731700")</f>
        <v xml:space="preserve">   731700</v>
      </c>
      <c r="B2347" t="str">
        <f>T("   Pointes, clous, punaises, crampons appointés, agrafes ondulées ou biseautées et articles simil., en fonte, fer ou acier, même avec tête en autre matière (à l'excl. de ceux avec tête en cuivre et à l'excl. des agrafes en barrettes)")</f>
        <v xml:space="preserve">   Pointes, clous, punaises, crampons appointés, agrafes ondulées ou biseautées et articles simil., en fonte, fer ou acier, même avec tête en autre matière (à l'excl. de ceux avec tête en cuivre et à l'excl. des agrafes en barrettes)</v>
      </c>
      <c r="C2347">
        <v>348240014</v>
      </c>
      <c r="D2347">
        <v>1458900</v>
      </c>
    </row>
    <row r="2348" spans="1:4" x14ac:dyDescent="0.25">
      <c r="A2348" t="str">
        <f>T("   731812")</f>
        <v xml:space="preserve">   731812</v>
      </c>
      <c r="B2348" t="str">
        <f>T("   Vis à bois en fonte, fer ou acier (autres que tire-fond)")</f>
        <v xml:space="preserve">   Vis à bois en fonte, fer ou acier (autres que tire-fond)</v>
      </c>
      <c r="C2348">
        <v>735802</v>
      </c>
      <c r="D2348">
        <v>2259</v>
      </c>
    </row>
    <row r="2349" spans="1:4" x14ac:dyDescent="0.25">
      <c r="A2349" t="str">
        <f>T("   731815")</f>
        <v xml:space="preserve">   731815</v>
      </c>
      <c r="B2349" t="s">
        <v>354</v>
      </c>
      <c r="C2349">
        <v>88273117</v>
      </c>
      <c r="D2349">
        <v>89971</v>
      </c>
    </row>
    <row r="2350" spans="1:4" x14ac:dyDescent="0.25">
      <c r="A2350" t="str">
        <f>T("   731816")</f>
        <v xml:space="preserve">   731816</v>
      </c>
      <c r="B2350" t="str">
        <f>T("   ÉCROUS EN FONTE, FER OU ACIER")</f>
        <v xml:space="preserve">   ÉCROUS EN FONTE, FER OU ACIER</v>
      </c>
      <c r="C2350">
        <v>3993944</v>
      </c>
      <c r="D2350">
        <v>9300</v>
      </c>
    </row>
    <row r="2351" spans="1:4" x14ac:dyDescent="0.25">
      <c r="A2351" t="str">
        <f>T("   731819")</f>
        <v xml:space="preserve">   731819</v>
      </c>
      <c r="B2351" t="str">
        <f>T("   Articles de boulonnerie et de visserie, filetés, en fonte, fer ou acier, n.d.a.")</f>
        <v xml:space="preserve">   Articles de boulonnerie et de visserie, filetés, en fonte, fer ou acier, n.d.a.</v>
      </c>
      <c r="C2351">
        <v>263200526</v>
      </c>
      <c r="D2351">
        <v>603117</v>
      </c>
    </row>
    <row r="2352" spans="1:4" x14ac:dyDescent="0.25">
      <c r="A2352" t="str">
        <f>T("   731821")</f>
        <v xml:space="preserve">   731821</v>
      </c>
      <c r="B2352" t="str">
        <f>T("   Rondelles destinées à faire ressort et autres rondelles de blocage, en fonte, fer ou acier")</f>
        <v xml:space="preserve">   Rondelles destinées à faire ressort et autres rondelles de blocage, en fonte, fer ou acier</v>
      </c>
      <c r="C2352">
        <v>94853</v>
      </c>
      <c r="D2352">
        <v>1500</v>
      </c>
    </row>
    <row r="2353" spans="1:4" x14ac:dyDescent="0.25">
      <c r="A2353" t="str">
        <f>T("   731829")</f>
        <v xml:space="preserve">   731829</v>
      </c>
      <c r="B2353" t="str">
        <f>T("   Articles de boulonnerie et de visserie non filetés, en fonte, fer ou acier, n.d.a.")</f>
        <v xml:space="preserve">   Articles de boulonnerie et de visserie non filetés, en fonte, fer ou acier, n.d.a.</v>
      </c>
      <c r="C2353">
        <v>106047085</v>
      </c>
      <c r="D2353">
        <v>224136</v>
      </c>
    </row>
    <row r="2354" spans="1:4" x14ac:dyDescent="0.25">
      <c r="A2354" t="str">
        <f>T("   731910")</f>
        <v xml:space="preserve">   731910</v>
      </c>
      <c r="B2354" t="str">
        <f>T("   Aiguilles à coudre, à ravauder ou à broder à la main, en fer ou en acier")</f>
        <v xml:space="preserve">   Aiguilles à coudre, à ravauder ou à broder à la main, en fer ou en acier</v>
      </c>
      <c r="C2354">
        <v>276019</v>
      </c>
      <c r="D2354">
        <v>99</v>
      </c>
    </row>
    <row r="2355" spans="1:4" x14ac:dyDescent="0.25">
      <c r="A2355" t="str">
        <f>T("   731920")</f>
        <v xml:space="preserve">   731920</v>
      </c>
      <c r="B2355" t="str">
        <f>T("   EPINGLES DE S¹RETÉ EN FER OU EN ACIER")</f>
        <v xml:space="preserve">   EPINGLES DE S¹RETÉ EN FER OU EN ACIER</v>
      </c>
      <c r="C2355">
        <v>3796262</v>
      </c>
      <c r="D2355">
        <v>9910</v>
      </c>
    </row>
    <row r="2356" spans="1:4" x14ac:dyDescent="0.25">
      <c r="A2356" t="str">
        <f>T("   731930")</f>
        <v xml:space="preserve">   731930</v>
      </c>
      <c r="B2356" t="str">
        <f>T("   Autres épingles en fer ou en acier, n.d.a.")</f>
        <v xml:space="preserve">   Autres épingles en fer ou en acier, n.d.a.</v>
      </c>
      <c r="C2356">
        <v>4409521</v>
      </c>
      <c r="D2356">
        <v>8232</v>
      </c>
    </row>
    <row r="2357" spans="1:4" x14ac:dyDescent="0.25">
      <c r="A2357" t="str">
        <f>T("   732010")</f>
        <v xml:space="preserve">   732010</v>
      </c>
      <c r="B2357" t="str">
        <f>T("   RESSORTS À LAMES ET LEURS LAMES, EN FER OU EN ACIER (À L'EXCL. DES RESSORTS DE MONTRES ET DES RESSORTS À BARRE DE TORSION DE LA SECTION 17)")</f>
        <v xml:space="preserve">   RESSORTS À LAMES ET LEURS LAMES, EN FER OU EN ACIER (À L'EXCL. DES RESSORTS DE MONTRES ET DES RESSORTS À BARRE DE TORSION DE LA SECTION 17)</v>
      </c>
      <c r="C2357">
        <v>66630</v>
      </c>
      <c r="D2357">
        <v>80</v>
      </c>
    </row>
    <row r="2358" spans="1:4" x14ac:dyDescent="0.25">
      <c r="A2358" t="str">
        <f>T("   732111")</f>
        <v xml:space="preserve">   732111</v>
      </c>
      <c r="B2358" t="s">
        <v>356</v>
      </c>
      <c r="C2358">
        <v>15078809</v>
      </c>
      <c r="D2358">
        <v>23145</v>
      </c>
    </row>
    <row r="2359" spans="1:4" x14ac:dyDescent="0.25">
      <c r="A2359" t="str">
        <f>T("   732112")</f>
        <v xml:space="preserve">   732112</v>
      </c>
      <c r="B2359" t="s">
        <v>357</v>
      </c>
      <c r="C2359">
        <v>381956</v>
      </c>
      <c r="D2359">
        <v>7191</v>
      </c>
    </row>
    <row r="2360" spans="1:4" x14ac:dyDescent="0.25">
      <c r="A2360" t="str">
        <f>T("   732181")</f>
        <v xml:space="preserve">   732181</v>
      </c>
      <c r="B2360" t="s">
        <v>358</v>
      </c>
      <c r="C2360">
        <v>6780000</v>
      </c>
      <c r="D2360">
        <v>10008</v>
      </c>
    </row>
    <row r="2361" spans="1:4" x14ac:dyDescent="0.25">
      <c r="A2361" t="str">
        <f>T("   732190")</f>
        <v xml:space="preserve">   732190</v>
      </c>
      <c r="B2361" t="str">
        <f>T("   Parties des appareils ménagers chauffants non-électriques du n° 7321, n.d.a.")</f>
        <v xml:space="preserve">   Parties des appareils ménagers chauffants non-électriques du n° 7321, n.d.a.</v>
      </c>
      <c r="C2361">
        <v>743481</v>
      </c>
      <c r="D2361">
        <v>923</v>
      </c>
    </row>
    <row r="2362" spans="1:4" x14ac:dyDescent="0.25">
      <c r="A2362" t="str">
        <f>T("   732310")</f>
        <v xml:space="preserve">   732310</v>
      </c>
      <c r="B2362" t="str">
        <f>T("   Paille de fer ou d'acier; éponges, torchons, gants et articles simil. pour le récurage, le polissage ou usages analogues, en fer ou acier")</f>
        <v xml:space="preserve">   Paille de fer ou d'acier; éponges, torchons, gants et articles simil. pour le récurage, le polissage ou usages analogues, en fer ou acier</v>
      </c>
      <c r="C2362">
        <v>1700000</v>
      </c>
      <c r="D2362">
        <v>13780</v>
      </c>
    </row>
    <row r="2363" spans="1:4" x14ac:dyDescent="0.25">
      <c r="A2363" t="str">
        <f>T("   732392")</f>
        <v xml:space="preserve">   732392</v>
      </c>
      <c r="B2363" t="s">
        <v>359</v>
      </c>
      <c r="C2363">
        <v>10360000</v>
      </c>
      <c r="D2363">
        <v>19775</v>
      </c>
    </row>
    <row r="2364" spans="1:4" x14ac:dyDescent="0.25">
      <c r="A2364" t="str">
        <f>T("   732393")</f>
        <v xml:space="preserve">   732393</v>
      </c>
      <c r="B2364" t="s">
        <v>360</v>
      </c>
      <c r="C2364">
        <v>13499577</v>
      </c>
      <c r="D2364">
        <v>30778</v>
      </c>
    </row>
    <row r="2365" spans="1:4" x14ac:dyDescent="0.25">
      <c r="A2365" t="str">
        <f>T("   732394")</f>
        <v xml:space="preserve">   732394</v>
      </c>
      <c r="B2365" t="s">
        <v>361</v>
      </c>
      <c r="C2365">
        <v>32758743</v>
      </c>
      <c r="D2365">
        <v>143781</v>
      </c>
    </row>
    <row r="2366" spans="1:4" x14ac:dyDescent="0.25">
      <c r="A2366" t="str">
        <f>T("   732399")</f>
        <v xml:space="preserve">   732399</v>
      </c>
      <c r="B2366" t="s">
        <v>362</v>
      </c>
      <c r="C2366">
        <v>192145782</v>
      </c>
      <c r="D2366">
        <v>622490</v>
      </c>
    </row>
    <row r="2367" spans="1:4" x14ac:dyDescent="0.25">
      <c r="A2367" t="str">
        <f>T("   732410")</f>
        <v xml:space="preserve">   732410</v>
      </c>
      <c r="B2367" t="str">
        <f>T("   ÉVIERS ET LAVABOS EN ACIER INOXYDABLE")</f>
        <v xml:space="preserve">   ÉVIERS ET LAVABOS EN ACIER INOXYDABLE</v>
      </c>
      <c r="C2367">
        <v>14998866</v>
      </c>
      <c r="D2367">
        <v>8219</v>
      </c>
    </row>
    <row r="2368" spans="1:4" x14ac:dyDescent="0.25">
      <c r="A2368" t="str">
        <f>T("   732429")</f>
        <v xml:space="preserve">   732429</v>
      </c>
      <c r="B2368" t="str">
        <f>T("   Baignoires en tôle d'acier")</f>
        <v xml:space="preserve">   Baignoires en tôle d'acier</v>
      </c>
      <c r="C2368">
        <v>4450000</v>
      </c>
      <c r="D2368">
        <v>10000</v>
      </c>
    </row>
    <row r="2369" spans="1:4" x14ac:dyDescent="0.25">
      <c r="A2369" t="str">
        <f>T("   732490")</f>
        <v xml:space="preserve">   732490</v>
      </c>
      <c r="B2369" t="s">
        <v>363</v>
      </c>
      <c r="C2369">
        <v>7555665</v>
      </c>
      <c r="D2369">
        <v>10474</v>
      </c>
    </row>
    <row r="2370" spans="1:4" x14ac:dyDescent="0.25">
      <c r="A2370" t="str">
        <f>T("   732599")</f>
        <v xml:space="preserve">   732599</v>
      </c>
      <c r="B2370" t="str">
        <f>T("   OUVRAGES EN FONTE, FER OU ACIER, MOULÉS, N.D.A. (À L'EXCL. DE LA FONTE NON-MALLÉABLE ET SAUF BOULETS ET ARTICLES SIMIL. POUR BROYEURS)")</f>
        <v xml:space="preserve">   OUVRAGES EN FONTE, FER OU ACIER, MOULÉS, N.D.A. (À L'EXCL. DE LA FONTE NON-MALLÉABLE ET SAUF BOULETS ET ARTICLES SIMIL. POUR BROYEURS)</v>
      </c>
      <c r="C2370">
        <v>15648382</v>
      </c>
      <c r="D2370">
        <v>30220</v>
      </c>
    </row>
    <row r="2371" spans="1:4" x14ac:dyDescent="0.25">
      <c r="A2371" t="str">
        <f>T("   732619")</f>
        <v xml:space="preserve">   732619</v>
      </c>
      <c r="B2371" t="str">
        <f>T("   Ouvrages en fer ou en acier, forgés ou estampés mais non autrement travaillés, n.d.a. (sauf boulets et articles simil. pour broyeurs)")</f>
        <v xml:space="preserve">   Ouvrages en fer ou en acier, forgés ou estampés mais non autrement travaillés, n.d.a. (sauf boulets et articles simil. pour broyeurs)</v>
      </c>
      <c r="C2371">
        <v>150000</v>
      </c>
      <c r="D2371">
        <v>770</v>
      </c>
    </row>
    <row r="2372" spans="1:4" x14ac:dyDescent="0.25">
      <c r="A2372" t="str">
        <f>T("   732620")</f>
        <v xml:space="preserve">   732620</v>
      </c>
      <c r="B2372" t="str">
        <f>T("   Ouvrages en fil de fer ou d'acier, n.d.a.")</f>
        <v xml:space="preserve">   Ouvrages en fil de fer ou d'acier, n.d.a.</v>
      </c>
      <c r="C2372">
        <v>5033175</v>
      </c>
      <c r="D2372">
        <v>6300</v>
      </c>
    </row>
    <row r="2373" spans="1:4" x14ac:dyDescent="0.25">
      <c r="A2373" t="str">
        <f>T("   732690")</f>
        <v xml:space="preserve">   732690</v>
      </c>
      <c r="B2373"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2373">
        <v>123327642</v>
      </c>
      <c r="D2373">
        <v>227545</v>
      </c>
    </row>
    <row r="2374" spans="1:4" x14ac:dyDescent="0.25">
      <c r="A2374" t="str">
        <f>T("   740919")</f>
        <v xml:space="preserve">   740919</v>
      </c>
      <c r="B2374" t="str">
        <f>T("   Tôles et bandes en cuivre affiné, épaisseur &gt; 0,15 mm (non enroulées et sauf tôles et bandes déployées ainsi que bandes isolées pour l'électricité)")</f>
        <v xml:space="preserve">   Tôles et bandes en cuivre affiné, épaisseur &gt; 0,15 mm (non enroulées et sauf tôles et bandes déployées ainsi que bandes isolées pour l'électricité)</v>
      </c>
      <c r="C2374">
        <v>210000</v>
      </c>
      <c r="D2374">
        <v>20</v>
      </c>
    </row>
    <row r="2375" spans="1:4" x14ac:dyDescent="0.25">
      <c r="A2375" t="str">
        <f>T("   741220")</f>
        <v xml:space="preserve">   741220</v>
      </c>
      <c r="B2375" t="str">
        <f>T("   Accessoires de tuyauterie -raccords, coudes, manchons, par exemple-, en alliages de cuivre")</f>
        <v xml:space="preserve">   Accessoires de tuyauterie -raccords, coudes, manchons, par exemple-, en alliages de cuivre</v>
      </c>
      <c r="C2375">
        <v>4641546</v>
      </c>
      <c r="D2375">
        <v>8411</v>
      </c>
    </row>
    <row r="2376" spans="1:4" x14ac:dyDescent="0.25">
      <c r="A2376" t="str">
        <f>T("   741510")</f>
        <v xml:space="preserve">   741510</v>
      </c>
      <c r="B2376" t="str">
        <f>T("   Pointes et clous, punaises, crampons appointés, agrafes et simil., en cuivre ou avec tige en fer ou en acier et tête en cuivre (sauf agrafes présentées en barrettes)")</f>
        <v xml:space="preserve">   Pointes et clous, punaises, crampons appointés, agrafes et simil., en cuivre ou avec tige en fer ou en acier et tête en cuivre (sauf agrafes présentées en barrettes)</v>
      </c>
      <c r="C2376">
        <v>48120971</v>
      </c>
      <c r="D2376">
        <v>299795</v>
      </c>
    </row>
    <row r="2377" spans="1:4" x14ac:dyDescent="0.25">
      <c r="A2377" t="str">
        <f>T("   741819")</f>
        <v xml:space="preserve">   741819</v>
      </c>
      <c r="B2377" t="s">
        <v>365</v>
      </c>
      <c r="C2377">
        <v>3992690</v>
      </c>
      <c r="D2377">
        <v>7500</v>
      </c>
    </row>
    <row r="2378" spans="1:4" x14ac:dyDescent="0.25">
      <c r="A2378" t="str">
        <f>T("   760410")</f>
        <v xml:space="preserve">   760410</v>
      </c>
      <c r="B2378" t="str">
        <f>T("   BARRES ET PROFILÉS EN ALUMINIUM NON-ALLIÉ, N.D.A.")</f>
        <v xml:space="preserve">   BARRES ET PROFILÉS EN ALUMINIUM NON-ALLIÉ, N.D.A.</v>
      </c>
      <c r="C2378">
        <v>7359080</v>
      </c>
      <c r="D2378">
        <v>21185</v>
      </c>
    </row>
    <row r="2379" spans="1:4" x14ac:dyDescent="0.25">
      <c r="A2379" t="str">
        <f>T("   760421")</f>
        <v xml:space="preserve">   760421</v>
      </c>
      <c r="B2379" t="str">
        <f>T("   Profilés creux en alliages d'aluminium, n.d.a.")</f>
        <v xml:space="preserve">   Profilés creux en alliages d'aluminium, n.d.a.</v>
      </c>
      <c r="C2379">
        <v>388769124</v>
      </c>
      <c r="D2379">
        <v>467726</v>
      </c>
    </row>
    <row r="2380" spans="1:4" x14ac:dyDescent="0.25">
      <c r="A2380" t="str">
        <f>T("   760429")</f>
        <v xml:space="preserve">   760429</v>
      </c>
      <c r="B2380" t="str">
        <f>T("   Barres et profilés pleins en alliages d'aluminium, n.d.a.")</f>
        <v xml:space="preserve">   Barres et profilés pleins en alliages d'aluminium, n.d.a.</v>
      </c>
      <c r="C2380">
        <v>418458933</v>
      </c>
      <c r="D2380">
        <v>498589</v>
      </c>
    </row>
    <row r="2381" spans="1:4" x14ac:dyDescent="0.25">
      <c r="A2381" t="str">
        <f>T("   760611")</f>
        <v xml:space="preserve">   760611</v>
      </c>
      <c r="B2381" t="str">
        <f>T("   TÔLES ET BANDES EN ALUMINIUM NON-ALLIÉ, D'UNE ÉPAISSEUR &gt; 0,2 MM, DE FORME CARRÉE OU RECTANGULAIRE (SAUF TÔLES ET BANDES DÉPLOYÉES)")</f>
        <v xml:space="preserve">   TÔLES ET BANDES EN ALUMINIUM NON-ALLIÉ, D'UNE ÉPAISSEUR &gt; 0,2 MM, DE FORME CARRÉE OU RECTANGULAIRE (SAUF TÔLES ET BANDES DÉPLOYÉES)</v>
      </c>
      <c r="C2381">
        <v>123151251</v>
      </c>
      <c r="D2381">
        <v>144000</v>
      </c>
    </row>
    <row r="2382" spans="1:4" x14ac:dyDescent="0.25">
      <c r="A2382" t="str">
        <f>T("   760612")</f>
        <v xml:space="preserve">   760612</v>
      </c>
      <c r="B2382" t="str">
        <f>T("   Tôles et bandes en alliages d'aluminium, d'une épaisseur &gt; 0,2 mm, de forme carrée ou rectangulaire (sauf tôles et bandes déployées)")</f>
        <v xml:space="preserve">   Tôles et bandes en alliages d'aluminium, d'une épaisseur &gt; 0,2 mm, de forme carrée ou rectangulaire (sauf tôles et bandes déployées)</v>
      </c>
      <c r="C2382">
        <v>16114597</v>
      </c>
      <c r="D2382">
        <v>15188</v>
      </c>
    </row>
    <row r="2383" spans="1:4" x14ac:dyDescent="0.25">
      <c r="A2383" t="str">
        <f>T("   760692")</f>
        <v xml:space="preserve">   760692</v>
      </c>
      <c r="B2383" t="str">
        <f>T("   Tôles et bandes en alliages d'aluminium, d'une épaisseur &gt; 0,2 mm, de forme autre que carrée ou rectangulaire")</f>
        <v xml:space="preserve">   Tôles et bandes en alliages d'aluminium, d'une épaisseur &gt; 0,2 mm, de forme autre que carrée ou rectangulaire</v>
      </c>
      <c r="C2383">
        <v>172965058</v>
      </c>
      <c r="D2383">
        <v>314266</v>
      </c>
    </row>
    <row r="2384" spans="1:4" x14ac:dyDescent="0.25">
      <c r="A2384" t="str">
        <f>T("   760719")</f>
        <v xml:space="preserve">   760719</v>
      </c>
      <c r="B2384" t="str">
        <f>T("   Feuilles et bandes minces d'aluminium, sans support, laminées et autrement traitées, d'une épaisseur &lt;= 0,2 mm (sauf feuilles pour le marquage au fer du n° 3212 et sauf feuilles travaillées pour la décoration des sapins de Noël)")</f>
        <v xml:space="preserve">   Feuilles et bandes minces d'aluminium, sans support, laminées et autrement traitées, d'une épaisseur &lt;= 0,2 mm (sauf feuilles pour le marquage au fer du n° 3212 et sauf feuilles travaillées pour la décoration des sapins de Noël)</v>
      </c>
      <c r="C2384">
        <v>719025</v>
      </c>
      <c r="D2384">
        <v>333</v>
      </c>
    </row>
    <row r="2385" spans="1:4" x14ac:dyDescent="0.25">
      <c r="A2385" t="str">
        <f>T("   760720")</f>
        <v xml:space="preserve">   760720</v>
      </c>
      <c r="B2385" t="str">
        <f>T("   Feuilles et bandes minces d'aluminium, sur support, d'une épaisseur, support non compris, &lt;= 0,2 mm (sauf feuilles pour le marquage au fer du n° 3212 et sauf feuilles travaillées pour la décoration des sapins de Noël)")</f>
        <v xml:space="preserve">   Feuilles et bandes minces d'aluminium, sur support, d'une épaisseur, support non compris, &lt;= 0,2 mm (sauf feuilles pour le marquage au fer du n° 3212 et sauf feuilles travaillées pour la décoration des sapins de Noël)</v>
      </c>
      <c r="C2385">
        <v>3435502</v>
      </c>
      <c r="D2385">
        <v>2564</v>
      </c>
    </row>
    <row r="2386" spans="1:4" x14ac:dyDescent="0.25">
      <c r="A2386" t="str">
        <f>T("   761010")</f>
        <v xml:space="preserve">   761010</v>
      </c>
      <c r="B2386" t="str">
        <f>T("   Portes, fenêtres et leurs cadres, chambranles et seuils, en aluminium (sauf pièces de garnissage)")</f>
        <v xml:space="preserve">   Portes, fenêtres et leurs cadres, chambranles et seuils, en aluminium (sauf pièces de garnissage)</v>
      </c>
      <c r="C2386">
        <v>83326166</v>
      </c>
      <c r="D2386">
        <v>164330</v>
      </c>
    </row>
    <row r="2387" spans="1:4" x14ac:dyDescent="0.25">
      <c r="A2387" t="str">
        <f>T("   761090")</f>
        <v xml:space="preserve">   761090</v>
      </c>
      <c r="B2387" t="str">
        <f>T("   Constructions et parties de constructions, en aluminium, n.d.a., ainsi que tôles, barres, profilés, tubes, tuyaux et simil., en aluminium, n.d.a; (sauf constructions préfabriquées du n° 9406, portes, fenêtres et leurs cadres, chambranles et seuils)")</f>
        <v xml:space="preserve">   Constructions et parties de constructions, en aluminium, n.d.a., ainsi que tôles, barres, profilés, tubes, tuyaux et simil., en aluminium, n.d.a; (sauf constructions préfabriquées du n° 9406, portes, fenêtres et leurs cadres, chambranles et seuils)</v>
      </c>
      <c r="C2387">
        <v>49160440</v>
      </c>
      <c r="D2387">
        <v>95519</v>
      </c>
    </row>
    <row r="2388" spans="1:4" x14ac:dyDescent="0.25">
      <c r="A2388" t="str">
        <f>T("   761290")</f>
        <v xml:space="preserve">   761290</v>
      </c>
      <c r="B2388" t="str">
        <f>T("   Réservoirs, fûts, tambours, bidons, boîtes et récipients simil., en aluminium, y.c. les étuis tubulaires rigides, pour toutes matières, sauf gaz comprimés ou liquéfiés, d'une contenance &lt;= 300 l, n.d.a.")</f>
        <v xml:space="preserve">   Réservoirs, fûts, tambours, bidons, boîtes et récipients simil., en aluminium, y.c. les étuis tubulaires rigides, pour toutes matières, sauf gaz comprimés ou liquéfiés, d'une contenance &lt;= 300 l, n.d.a.</v>
      </c>
      <c r="C2388">
        <v>393576</v>
      </c>
      <c r="D2388">
        <v>200</v>
      </c>
    </row>
    <row r="2389" spans="1:4" x14ac:dyDescent="0.25">
      <c r="A2389" t="str">
        <f>T("   761511")</f>
        <v xml:space="preserve">   761511</v>
      </c>
      <c r="B2389" t="str">
        <f>T("   Eponges, torchons, gants et articles simil. pour le récurage, le polissage et usages analogues, en aluminium (à l'excl. des articles d'hygiène et de toilette)")</f>
        <v xml:space="preserve">   Eponges, torchons, gants et articles simil. pour le récurage, le polissage et usages analogues, en aluminium (à l'excl. des articles d'hygiène et de toilette)</v>
      </c>
      <c r="C2389">
        <v>518657</v>
      </c>
      <c r="D2389">
        <v>2250</v>
      </c>
    </row>
    <row r="2390" spans="1:4" x14ac:dyDescent="0.25">
      <c r="A2390" t="str">
        <f>T("   761519")</f>
        <v xml:space="preserve">   761519</v>
      </c>
      <c r="B2390" t="s">
        <v>367</v>
      </c>
      <c r="C2390">
        <v>38474920</v>
      </c>
      <c r="D2390">
        <v>129747</v>
      </c>
    </row>
    <row r="2391" spans="1:4" x14ac:dyDescent="0.25">
      <c r="A2391" t="str">
        <f>T("   761520")</f>
        <v xml:space="preserve">   761520</v>
      </c>
      <c r="B2391" t="str">
        <f>T("   Articles d'hygiène ou de toilette, et leurs parties, en aluminium (sauf bidons, boîtes et récipients simil. du n° 7612 et sauf accessoires de tuyauterie)")</f>
        <v xml:space="preserve">   Articles d'hygiène ou de toilette, et leurs parties, en aluminium (sauf bidons, boîtes et récipients simil. du n° 7612 et sauf accessoires de tuyauterie)</v>
      </c>
      <c r="C2391">
        <v>4832492</v>
      </c>
      <c r="D2391">
        <v>3486</v>
      </c>
    </row>
    <row r="2392" spans="1:4" x14ac:dyDescent="0.25">
      <c r="A2392" t="str">
        <f>T("   761691")</f>
        <v xml:space="preserve">   761691</v>
      </c>
      <c r="B2392" t="str">
        <f>T("   Toiles métalliques, grillages et treillis, en fils d'aluminium (sauf toiles en fils métalliques pour revêtements, aménagements intérieurs et usages simil., toiles, grillages et treillis transformés en cribles ou tamis à main ou en pièces de machines)")</f>
        <v xml:space="preserve">   Toiles métalliques, grillages et treillis, en fils d'aluminium (sauf toiles en fils métalliques pour revêtements, aménagements intérieurs et usages simil., toiles, grillages et treillis transformés en cribles ou tamis à main ou en pièces de machines)</v>
      </c>
      <c r="C2392">
        <v>13470090</v>
      </c>
      <c r="D2392">
        <v>25050</v>
      </c>
    </row>
    <row r="2393" spans="1:4" x14ac:dyDescent="0.25">
      <c r="A2393" t="str">
        <f>T("   761699")</f>
        <v xml:space="preserve">   761699</v>
      </c>
      <c r="B2393" t="str">
        <f>T("   Ouvrages en aluminium, n.d.a.")</f>
        <v xml:space="preserve">   Ouvrages en aluminium, n.d.a.</v>
      </c>
      <c r="C2393">
        <v>41579679</v>
      </c>
      <c r="D2393">
        <v>125816</v>
      </c>
    </row>
    <row r="2394" spans="1:4" x14ac:dyDescent="0.25">
      <c r="A2394" t="str">
        <f>T("   780199")</f>
        <v xml:space="preserve">   780199</v>
      </c>
      <c r="B2394" t="str">
        <f>T("   Plomb sous forme brute (sauf plomb affiné et plomb contenant de l'antimoine comme autre élément prédominant en poids)")</f>
        <v xml:space="preserve">   Plomb sous forme brute (sauf plomb affiné et plomb contenant de l'antimoine comme autre élément prédominant en poids)</v>
      </c>
      <c r="C2394">
        <v>14706826</v>
      </c>
      <c r="D2394">
        <v>7755</v>
      </c>
    </row>
    <row r="2395" spans="1:4" x14ac:dyDescent="0.25">
      <c r="A2395" t="str">
        <f>T("   780419")</f>
        <v xml:space="preserve">   780419</v>
      </c>
      <c r="B2395" t="str">
        <f>T("   Tables en plomb; feuilles et bandes, en plomb, épaisseur, support non compris, &gt; 0,2 mm")</f>
        <v xml:space="preserve">   Tables en plomb; feuilles et bandes, en plomb, épaisseur, support non compris, &gt; 0,2 mm</v>
      </c>
      <c r="C2395">
        <v>1464208</v>
      </c>
      <c r="D2395">
        <v>775</v>
      </c>
    </row>
    <row r="2396" spans="1:4" x14ac:dyDescent="0.25">
      <c r="A2396" t="str">
        <f>T("   790500")</f>
        <v xml:space="preserve">   790500</v>
      </c>
      <c r="B2396" t="str">
        <f>T("   TOLES, BANDES ET FEUILLES EN ZINC")</f>
        <v xml:space="preserve">   TOLES, BANDES ET FEUILLES EN ZINC</v>
      </c>
      <c r="C2396">
        <v>35424924</v>
      </c>
      <c r="D2396">
        <v>100242</v>
      </c>
    </row>
    <row r="2397" spans="1:4" x14ac:dyDescent="0.25">
      <c r="A2397" t="str">
        <f>T("   820110")</f>
        <v xml:space="preserve">   820110</v>
      </c>
      <c r="B2397" t="str">
        <f>T("   Bêches et pelles, avec partie travaillante en métaux communs")</f>
        <v xml:space="preserve">   Bêches et pelles, avec partie travaillante en métaux communs</v>
      </c>
      <c r="C2397">
        <v>57802532</v>
      </c>
      <c r="D2397">
        <v>356817</v>
      </c>
    </row>
    <row r="2398" spans="1:4" x14ac:dyDescent="0.25">
      <c r="A2398" t="str">
        <f>T("   820130")</f>
        <v xml:space="preserve">   820130</v>
      </c>
      <c r="B2398" t="str">
        <f>T("   Pioches, pics, houes, binettes, râteaux et racloirs, avec partie travaillante en métaux communs (sauf piolets)")</f>
        <v xml:space="preserve">   Pioches, pics, houes, binettes, râteaux et racloirs, avec partie travaillante en métaux communs (sauf piolets)</v>
      </c>
      <c r="C2398">
        <v>479830</v>
      </c>
      <c r="D2398">
        <v>2335</v>
      </c>
    </row>
    <row r="2399" spans="1:4" x14ac:dyDescent="0.25">
      <c r="A2399" t="str">
        <f>T("   820140")</f>
        <v xml:space="preserve">   820140</v>
      </c>
      <c r="B2399" t="str">
        <f>T("   Haches, serpes et outils simil. à taillants, avec partie travaillante en métaux communs")</f>
        <v xml:space="preserve">   Haches, serpes et outils simil. à taillants, avec partie travaillante en métaux communs</v>
      </c>
      <c r="C2399">
        <v>1645928</v>
      </c>
      <c r="D2399">
        <v>4200</v>
      </c>
    </row>
    <row r="2400" spans="1:4" x14ac:dyDescent="0.25">
      <c r="A2400" t="str">
        <f>T("   820190")</f>
        <v xml:space="preserve">   820190</v>
      </c>
      <c r="B2400" t="s">
        <v>369</v>
      </c>
      <c r="C2400">
        <v>291445</v>
      </c>
      <c r="D2400">
        <v>2250</v>
      </c>
    </row>
    <row r="2401" spans="1:4" x14ac:dyDescent="0.25">
      <c r="A2401" t="str">
        <f>T("   820210")</f>
        <v xml:space="preserve">   820210</v>
      </c>
      <c r="B2401" t="str">
        <f>T("   Scies à main, avec partie travaillante en métaux communs (à l'excl. des tronçonneuses)")</f>
        <v xml:space="preserve">   Scies à main, avec partie travaillante en métaux communs (à l'excl. des tronçonneuses)</v>
      </c>
      <c r="C2401">
        <v>1843490</v>
      </c>
      <c r="D2401">
        <v>4816</v>
      </c>
    </row>
    <row r="2402" spans="1:4" x14ac:dyDescent="0.25">
      <c r="A2402" t="str">
        <f>T("   820239")</f>
        <v xml:space="preserve">   820239</v>
      </c>
      <c r="B2402" t="str">
        <f>T("   Lames de scies circulaires, y.c. les lames de fraises-scies, et leurs parties, en métaux communs et avec partie travaillante en matières autres que l'acier")</f>
        <v xml:space="preserve">   Lames de scies circulaires, y.c. les lames de fraises-scies, et leurs parties, en métaux communs et avec partie travaillante en matières autres que l'acier</v>
      </c>
      <c r="C2402">
        <v>85652</v>
      </c>
      <c r="D2402">
        <v>262</v>
      </c>
    </row>
    <row r="2403" spans="1:4" x14ac:dyDescent="0.25">
      <c r="A2403" t="str">
        <f>T("   820299")</f>
        <v xml:space="preserve">   820299</v>
      </c>
      <c r="B2403" t="s">
        <v>370</v>
      </c>
      <c r="C2403">
        <v>1771678</v>
      </c>
      <c r="D2403">
        <v>5000</v>
      </c>
    </row>
    <row r="2404" spans="1:4" x14ac:dyDescent="0.25">
      <c r="A2404" t="str">
        <f>T("   820320")</f>
        <v xml:space="preserve">   820320</v>
      </c>
      <c r="B2404" t="str">
        <f>T("   PINCES -MÊME COUPANTES-, TENAILLES, BRUCELLES À USAGE NON-MÉDICAL ET OUTILS SIMIL. À MAIN, EN MÉTAUX COMMUNS")</f>
        <v xml:space="preserve">   PINCES -MÊME COUPANTES-, TENAILLES, BRUCELLES À USAGE NON-MÉDICAL ET OUTILS SIMIL. À MAIN, EN MÉTAUX COMMUNS</v>
      </c>
      <c r="C2404">
        <v>1038579</v>
      </c>
      <c r="D2404">
        <v>3926</v>
      </c>
    </row>
    <row r="2405" spans="1:4" x14ac:dyDescent="0.25">
      <c r="A2405" t="str">
        <f>T("   820412")</f>
        <v xml:space="preserve">   820412</v>
      </c>
      <c r="B2405" t="str">
        <f>T("   Clés de serrage à main, y.c. -les clés dynamométriques-, en métaux communs, à ouverture variable")</f>
        <v xml:space="preserve">   Clés de serrage à main, y.c. -les clés dynamométriques-, en métaux communs, à ouverture variable</v>
      </c>
      <c r="C2405">
        <v>1081685</v>
      </c>
      <c r="D2405">
        <v>2141</v>
      </c>
    </row>
    <row r="2406" spans="1:4" x14ac:dyDescent="0.25">
      <c r="A2406" t="str">
        <f>T("   820520")</f>
        <v xml:space="preserve">   820520</v>
      </c>
      <c r="B2406" t="str">
        <f>T("   Marteaux et masses, avec partie travaillante en métaux communs")</f>
        <v xml:space="preserve">   Marteaux et masses, avec partie travaillante en métaux communs</v>
      </c>
      <c r="C2406">
        <v>1680826</v>
      </c>
      <c r="D2406">
        <v>3162</v>
      </c>
    </row>
    <row r="2407" spans="1:4" x14ac:dyDescent="0.25">
      <c r="A2407" t="str">
        <f>T("   820530")</f>
        <v xml:space="preserve">   820530</v>
      </c>
      <c r="B2407" t="str">
        <f>T("   Rabots, ciseaux, gouges et outils tranchants simil. à main pour le travail du bois")</f>
        <v xml:space="preserve">   Rabots, ciseaux, gouges et outils tranchants simil. à main pour le travail du bois</v>
      </c>
      <c r="C2407">
        <v>4429632</v>
      </c>
      <c r="D2407">
        <v>4850</v>
      </c>
    </row>
    <row r="2408" spans="1:4" x14ac:dyDescent="0.25">
      <c r="A2408" t="str">
        <f>T("   820540")</f>
        <v xml:space="preserve">   820540</v>
      </c>
      <c r="B2408" t="str">
        <f>T("   Tournevis à main")</f>
        <v xml:space="preserve">   Tournevis à main</v>
      </c>
      <c r="C2408">
        <v>670431</v>
      </c>
      <c r="D2408">
        <v>2295</v>
      </c>
    </row>
    <row r="2409" spans="1:4" x14ac:dyDescent="0.25">
      <c r="A2409" t="str">
        <f>T("   820551")</f>
        <v xml:space="preserve">   820551</v>
      </c>
      <c r="B2409" t="str">
        <f>T("   Outils à main d'économie domestique, non mécaniques, avec partie travaillante en métaux communs, n.d.a.")</f>
        <v xml:space="preserve">   Outils à main d'économie domestique, non mécaniques, avec partie travaillante en métaux communs, n.d.a.</v>
      </c>
      <c r="C2409">
        <v>6328716</v>
      </c>
      <c r="D2409">
        <v>12524</v>
      </c>
    </row>
    <row r="2410" spans="1:4" x14ac:dyDescent="0.25">
      <c r="A2410" t="str">
        <f>T("   820559")</f>
        <v xml:space="preserve">   820559</v>
      </c>
      <c r="B2410" t="str">
        <f>T("   Outils à main, y.c. -les diamants de vitrier-, en métaux communs, n.d.a.")</f>
        <v xml:space="preserve">   Outils à main, y.c. -les diamants de vitrier-, en métaux communs, n.d.a.</v>
      </c>
      <c r="C2410">
        <v>6662856</v>
      </c>
      <c r="D2410">
        <v>17947</v>
      </c>
    </row>
    <row r="2411" spans="1:4" x14ac:dyDescent="0.25">
      <c r="A2411" t="str">
        <f>T("   820590")</f>
        <v xml:space="preserve">   820590</v>
      </c>
      <c r="B2411" t="str">
        <f>T("   Assortiments d'outils d'au moins deux des sous-positions du n° 8205")</f>
        <v xml:space="preserve">   Assortiments d'outils d'au moins deux des sous-positions du n° 8205</v>
      </c>
      <c r="C2411">
        <v>414029</v>
      </c>
      <c r="D2411">
        <v>5025</v>
      </c>
    </row>
    <row r="2412" spans="1:4" x14ac:dyDescent="0.25">
      <c r="A2412" t="str">
        <f>T("   820600")</f>
        <v xml:space="preserve">   820600</v>
      </c>
      <c r="B2412" t="str">
        <f>T("   Outils d'au moins deux du n° 8202 à 8205, conditionnés en assortiments pour la vente au détail")</f>
        <v xml:space="preserve">   Outils d'au moins deux du n° 8202 à 8205, conditionnés en assortiments pour la vente au détail</v>
      </c>
      <c r="C2412">
        <v>1169085</v>
      </c>
      <c r="D2412">
        <v>4045</v>
      </c>
    </row>
    <row r="2413" spans="1:4" x14ac:dyDescent="0.25">
      <c r="A2413" t="str">
        <f>T("   820719")</f>
        <v xml:space="preserve">   820719</v>
      </c>
      <c r="B2413" t="str">
        <f>T("   Outils de forage ou de sondage, interchangeables, et leurs parties, avec partie travaillante en matières autres qu'en carbures métalliques frittés ou en cermets")</f>
        <v xml:space="preserve">   Outils de forage ou de sondage, interchangeables, et leurs parties, avec partie travaillante en matières autres qu'en carbures métalliques frittés ou en cermets</v>
      </c>
      <c r="C2413">
        <v>594134</v>
      </c>
      <c r="D2413">
        <v>7954</v>
      </c>
    </row>
    <row r="2414" spans="1:4" x14ac:dyDescent="0.25">
      <c r="A2414" t="str">
        <f>T("   820890")</f>
        <v xml:space="preserve">   820890</v>
      </c>
      <c r="B2414" t="s">
        <v>371</v>
      </c>
      <c r="C2414">
        <v>6206946</v>
      </c>
      <c r="D2414">
        <v>9505</v>
      </c>
    </row>
    <row r="2415" spans="1:4" x14ac:dyDescent="0.25">
      <c r="A2415" t="str">
        <f>T("   821000")</f>
        <v xml:space="preserve">   821000</v>
      </c>
      <c r="B2415" t="s">
        <v>372</v>
      </c>
      <c r="C2415">
        <v>608775</v>
      </c>
      <c r="D2415">
        <v>5000</v>
      </c>
    </row>
    <row r="2416" spans="1:4" x14ac:dyDescent="0.25">
      <c r="A2416" t="str">
        <f>T("   821110")</f>
        <v xml:space="preserve">   821110</v>
      </c>
      <c r="B2416" t="str">
        <f>T("   Assortiments de couteaux du n° 8211; assortiments dans lesquels les couteaux du n° 8211 sont plus nombreux que d'autres articles")</f>
        <v xml:space="preserve">   Assortiments de couteaux du n° 8211; assortiments dans lesquels les couteaux du n° 8211 sont plus nombreux que d'autres articles</v>
      </c>
      <c r="C2416">
        <v>90597</v>
      </c>
      <c r="D2416">
        <v>152</v>
      </c>
    </row>
    <row r="2417" spans="1:4" x14ac:dyDescent="0.25">
      <c r="A2417" t="str">
        <f>T("   821191")</f>
        <v xml:space="preserve">   821191</v>
      </c>
      <c r="B2417" t="str">
        <f>T("   Couteaux de table à lame fixe, en métaux communs, y.c. les manches (sauf couteaux à beurre et couteaux à poisson)")</f>
        <v xml:space="preserve">   Couteaux de table à lame fixe, en métaux communs, y.c. les manches (sauf couteaux à beurre et couteaux à poisson)</v>
      </c>
      <c r="C2417">
        <v>5332212</v>
      </c>
      <c r="D2417">
        <v>15474</v>
      </c>
    </row>
    <row r="2418" spans="1:4" x14ac:dyDescent="0.25">
      <c r="A2418" t="str">
        <f>T("   821192")</f>
        <v xml:space="preserve">   821192</v>
      </c>
      <c r="B2418" t="s">
        <v>373</v>
      </c>
      <c r="C2418">
        <v>9735580</v>
      </c>
      <c r="D2418">
        <v>43834</v>
      </c>
    </row>
    <row r="2419" spans="1:4" x14ac:dyDescent="0.25">
      <c r="A2419" t="str">
        <f>T("   821300")</f>
        <v xml:space="preserve">   821300</v>
      </c>
      <c r="B2419" t="str">
        <f>T("   Ciseaux à doubles branches et leurs lames, en métaux communs (sauf taille-haies, cisailles et articles simil. actionnés des deux mains, sécateurs et articles simil. actionnés d'une main et sauf ciseaux spéciaux de maréchal-ferrant)")</f>
        <v xml:space="preserve">   Ciseaux à doubles branches et leurs lames, en métaux communs (sauf taille-haies, cisailles et articles simil. actionnés des deux mains, sécateurs et articles simil. actionnés d'une main et sauf ciseaux spéciaux de maréchal-ferrant)</v>
      </c>
      <c r="C2419">
        <v>4146421</v>
      </c>
      <c r="D2419">
        <v>3983</v>
      </c>
    </row>
    <row r="2420" spans="1:4" x14ac:dyDescent="0.25">
      <c r="A2420" t="str">
        <f>T("   821410")</f>
        <v xml:space="preserve">   821410</v>
      </c>
      <c r="B2420" t="str">
        <f>T("   Coupe-papier, ouvre-lettres, grattoirs, taille-crayons et leurs lames, en métaux communs (sauf machines, appareils et instruments à usage similaire du chapitre 84)")</f>
        <v xml:space="preserve">   Coupe-papier, ouvre-lettres, grattoirs, taille-crayons et leurs lames, en métaux communs (sauf machines, appareils et instruments à usage similaire du chapitre 84)</v>
      </c>
      <c r="C2420">
        <v>482960</v>
      </c>
      <c r="D2420">
        <v>1000</v>
      </c>
    </row>
    <row r="2421" spans="1:4" x14ac:dyDescent="0.25">
      <c r="A2421" t="str">
        <f>T("   821420")</f>
        <v xml:space="preserve">   821420</v>
      </c>
      <c r="B2421" t="str">
        <f>T("   Outils et assortiments d'outils de manucure ou de pédicure, y.c. -les limes à ongles-, en métaux communs (sauf ciseaux ordinaires)")</f>
        <v xml:space="preserve">   Outils et assortiments d'outils de manucure ou de pédicure, y.c. -les limes à ongles-, en métaux communs (sauf ciseaux ordinaires)</v>
      </c>
      <c r="C2421">
        <v>233869</v>
      </c>
      <c r="D2421">
        <v>850</v>
      </c>
    </row>
    <row r="2422" spans="1:4" x14ac:dyDescent="0.25">
      <c r="A2422" t="str">
        <f>T("   821490")</f>
        <v xml:space="preserve">   821490</v>
      </c>
      <c r="B2422" t="str">
        <f>T("   Tondeuses de coiffeur et autres articles à couper, n.d.a., en métaux communs")</f>
        <v xml:space="preserve">   Tondeuses de coiffeur et autres articles à couper, n.d.a., en métaux communs</v>
      </c>
      <c r="C2422">
        <v>9144642</v>
      </c>
      <c r="D2422">
        <v>26000</v>
      </c>
    </row>
    <row r="2423" spans="1:4" x14ac:dyDescent="0.25">
      <c r="A2423" t="str">
        <f>T("   821510")</f>
        <v xml:space="preserve">   821510</v>
      </c>
      <c r="B2423" t="str">
        <f>T("   Assortiments de cuillers, fourchettes et autres articles du n° n° 8215, même avec couteaux jusqu'à un nombre égal, en métaux communs, comprenant au moins une partie argentée, dorée ou platinée")</f>
        <v xml:space="preserve">   Assortiments de cuillers, fourchettes et autres articles du n° n° 8215, même avec couteaux jusqu'à un nombre égal, en métaux communs, comprenant au moins une partie argentée, dorée ou platinée</v>
      </c>
      <c r="C2423">
        <v>650003</v>
      </c>
      <c r="D2423">
        <v>1100</v>
      </c>
    </row>
    <row r="2424" spans="1:4" x14ac:dyDescent="0.25">
      <c r="A2424" t="str">
        <f>T("   821520")</f>
        <v xml:space="preserve">   821520</v>
      </c>
      <c r="B2424" t="str">
        <f>T("   ASSORTIMENTS COMPOSÉS D'UN OU PLUSIEURS COUTEAUX DU N° 8211 ET D'UN NOMBRE AU MOINS ÉGAL DE CUILLERS, FOURCHETTES OU AUTRES ARTICLES DU N° N° 8215, EN MÉTAUX COMMUNS, NE COMPRENANT AUCUNE PARTIE ARGENTÉE, DORÉE OU PLATINÉE")</f>
        <v xml:space="preserve">   ASSORTIMENTS COMPOSÉS D'UN OU PLUSIEURS COUTEAUX DU N° 8211 ET D'UN NOMBRE AU MOINS ÉGAL DE CUILLERS, FOURCHETTES OU AUTRES ARTICLES DU N° N° 8215, EN MÉTAUX COMMUNS, NE COMPRENANT AUCUNE PARTIE ARGENTÉE, DORÉE OU PLATINÉE</v>
      </c>
      <c r="C2424">
        <v>1603113</v>
      </c>
      <c r="D2424">
        <v>1685</v>
      </c>
    </row>
    <row r="2425" spans="1:4" x14ac:dyDescent="0.25">
      <c r="A2425" t="str">
        <f>T("   821599")</f>
        <v xml:space="preserve">   821599</v>
      </c>
      <c r="B2425" t="s">
        <v>374</v>
      </c>
      <c r="C2425">
        <v>35959156</v>
      </c>
      <c r="D2425">
        <v>142821</v>
      </c>
    </row>
    <row r="2426" spans="1:4" x14ac:dyDescent="0.25">
      <c r="A2426" t="str">
        <f>T("   830110")</f>
        <v xml:space="preserve">   830110</v>
      </c>
      <c r="B2426" t="str">
        <f>T("   Cadenas, en métaux communs")</f>
        <v xml:space="preserve">   Cadenas, en métaux communs</v>
      </c>
      <c r="C2426">
        <v>9983070</v>
      </c>
      <c r="D2426">
        <v>37673</v>
      </c>
    </row>
    <row r="2427" spans="1:4" x14ac:dyDescent="0.25">
      <c r="A2427" t="str">
        <f>T("   830120")</f>
        <v xml:space="preserve">   830120</v>
      </c>
      <c r="B2427" t="str">
        <f>T("   Serrures des types utilisés pour véhicules automobiles, en métaux communs")</f>
        <v xml:space="preserve">   Serrures des types utilisés pour véhicules automobiles, en métaux communs</v>
      </c>
      <c r="C2427">
        <v>100810</v>
      </c>
      <c r="D2427">
        <v>2400</v>
      </c>
    </row>
    <row r="2428" spans="1:4" x14ac:dyDescent="0.25">
      <c r="A2428" t="str">
        <f>T("   830130")</f>
        <v xml:space="preserve">   830130</v>
      </c>
      <c r="B2428" t="str">
        <f>T("   Serrures des types utilisés pour meubles, en métaux communs")</f>
        <v xml:space="preserve">   Serrures des types utilisés pour meubles, en métaux communs</v>
      </c>
      <c r="C2428">
        <v>3377951</v>
      </c>
      <c r="D2428">
        <v>4490</v>
      </c>
    </row>
    <row r="2429" spans="1:4" x14ac:dyDescent="0.25">
      <c r="A2429" t="str">
        <f>T("   830140")</f>
        <v xml:space="preserve">   830140</v>
      </c>
      <c r="B2429" t="str">
        <f>T("   Serrures et verrous, en métaux communs (autres que cadenas et serrures des types utilisés pour véhicules automobiles ou meubles)")</f>
        <v xml:space="preserve">   Serrures et verrous, en métaux communs (autres que cadenas et serrures des types utilisés pour véhicules automobiles ou meubles)</v>
      </c>
      <c r="C2429">
        <v>213468346</v>
      </c>
      <c r="D2429">
        <v>672080</v>
      </c>
    </row>
    <row r="2430" spans="1:4" x14ac:dyDescent="0.25">
      <c r="A2430" t="str">
        <f>T("   830160")</f>
        <v xml:space="preserve">   830160</v>
      </c>
      <c r="B2430" t="str">
        <f>T("   Parties des cadenas, serrures et verrous, ainsi que des fermoirs et montures-fermoirs, avec serrure, en métaux communs, n.d.a.")</f>
        <v xml:space="preserve">   Parties des cadenas, serrures et verrous, ainsi que des fermoirs et montures-fermoirs, avec serrure, en métaux communs, n.d.a.</v>
      </c>
      <c r="C2430">
        <v>3658322</v>
      </c>
      <c r="D2430">
        <v>15628</v>
      </c>
    </row>
    <row r="2431" spans="1:4" x14ac:dyDescent="0.25">
      <c r="A2431" t="str">
        <f>T("   830170")</f>
        <v xml:space="preserve">   830170</v>
      </c>
      <c r="B2431" t="str">
        <f>T("   Clefs présentées isolément, pour cadenas, serrures et verrous, ainsi que pour fermoirs et montures-fermoirs avec serrure, en métaux communs")</f>
        <v xml:space="preserve">   Clefs présentées isolément, pour cadenas, serrures et verrous, ainsi que pour fermoirs et montures-fermoirs avec serrure, en métaux communs</v>
      </c>
      <c r="C2431">
        <v>780075</v>
      </c>
      <c r="D2431">
        <v>1425</v>
      </c>
    </row>
    <row r="2432" spans="1:4" x14ac:dyDescent="0.25">
      <c r="A2432" t="str">
        <f>T("   830210")</f>
        <v xml:space="preserve">   830210</v>
      </c>
      <c r="B2432" t="str">
        <f>T("   Charnières de tous genres, y.c. les paumelles et pentures, en métaux communs")</f>
        <v xml:space="preserve">   Charnières de tous genres, y.c. les paumelles et pentures, en métaux communs</v>
      </c>
      <c r="C2432">
        <v>10692306</v>
      </c>
      <c r="D2432">
        <v>22649</v>
      </c>
    </row>
    <row r="2433" spans="1:4" x14ac:dyDescent="0.25">
      <c r="A2433" t="str">
        <f>T("   830220")</f>
        <v xml:space="preserve">   830220</v>
      </c>
      <c r="B2433" t="str">
        <f>T("   Roulettes avec monture en métaux communs")</f>
        <v xml:space="preserve">   Roulettes avec monture en métaux communs</v>
      </c>
      <c r="C2433">
        <v>977395</v>
      </c>
      <c r="D2433">
        <v>8102</v>
      </c>
    </row>
    <row r="2434" spans="1:4" x14ac:dyDescent="0.25">
      <c r="A2434" t="str">
        <f>T("   830241")</f>
        <v xml:space="preserve">   830241</v>
      </c>
      <c r="B2434" t="str">
        <f>T("   Garnitures, ferrures et simil., pour bâtiments, en métaux communs (sauf serrures et verrous de sûreté à clef et sauf charnières)")</f>
        <v xml:space="preserve">   Garnitures, ferrures et simil., pour bâtiments, en métaux communs (sauf serrures et verrous de sûreté à clef et sauf charnières)</v>
      </c>
      <c r="C2434">
        <v>10266666</v>
      </c>
      <c r="D2434">
        <v>40106</v>
      </c>
    </row>
    <row r="2435" spans="1:4" x14ac:dyDescent="0.25">
      <c r="A2435" t="str">
        <f>T("   830242")</f>
        <v xml:space="preserve">   830242</v>
      </c>
      <c r="B2435" t="str">
        <f>T("   GARNITURES, FERRURES ET SIMIL., POUR MEUBLES, EN MÉTAUX COMMUNS (SAUF SERRURES ET VERROUS DE S¹RETÉ À CLEF ET SAUF CHARNIÈRES ET ROULETTES)")</f>
        <v xml:space="preserve">   GARNITURES, FERRURES ET SIMIL., POUR MEUBLES, EN MÉTAUX COMMUNS (SAUF SERRURES ET VERROUS DE S¹RETÉ À CLEF ET SAUF CHARNIÈRES ET ROULETTES)</v>
      </c>
      <c r="C2435">
        <v>1397305</v>
      </c>
      <c r="D2435">
        <v>2037</v>
      </c>
    </row>
    <row r="2436" spans="1:4" x14ac:dyDescent="0.25">
      <c r="A2436" t="str">
        <f>T("   830249")</f>
        <v xml:space="preserve">   830249</v>
      </c>
      <c r="B2436" t="s">
        <v>375</v>
      </c>
      <c r="C2436">
        <v>27589349</v>
      </c>
      <c r="D2436">
        <v>189590</v>
      </c>
    </row>
    <row r="2437" spans="1:4" x14ac:dyDescent="0.25">
      <c r="A2437" t="str">
        <f>T("   830250")</f>
        <v xml:space="preserve">   830250</v>
      </c>
      <c r="B2437" t="str">
        <f>T("   Patères, porte-chapeaux, supports et articles simil. en métaux communs")</f>
        <v xml:space="preserve">   Patères, porte-chapeaux, supports et articles simil. en métaux communs</v>
      </c>
      <c r="C2437">
        <v>7858552</v>
      </c>
      <c r="D2437">
        <v>5817</v>
      </c>
    </row>
    <row r="2438" spans="1:4" x14ac:dyDescent="0.25">
      <c r="A2438" t="str">
        <f>T("   830300")</f>
        <v xml:space="preserve">   830300</v>
      </c>
      <c r="B2438" t="str">
        <f>T("   Coffres-forts, portes blindées et compartiments pour chambres fortes, coffres et cassettes de sûreté et articles simil., en métaux communs")</f>
        <v xml:space="preserve">   Coffres-forts, portes blindées et compartiments pour chambres fortes, coffres et cassettes de sûreté et articles simil., en métaux communs</v>
      </c>
      <c r="C2438">
        <v>9487392</v>
      </c>
      <c r="D2438">
        <v>10241</v>
      </c>
    </row>
    <row r="2439" spans="1:4" x14ac:dyDescent="0.25">
      <c r="A2439" t="str">
        <f>T("   830400")</f>
        <v xml:space="preserve">   830400</v>
      </c>
      <c r="B2439" t="str">
        <f>T("   Classeurs, fichiers, boîtes de classement, porte-copies, plumiers, porte-cachets et matériel et fournitures simil. de bureau, en métaux communs (à l'excl. des meubles de bureau du n° 9403 et des corbeilles à papier)")</f>
        <v xml:space="preserve">   Classeurs, fichiers, boîtes de classement, porte-copies, plumiers, porte-cachets et matériel et fournitures simil. de bureau, en métaux communs (à l'excl. des meubles de bureau du n° 9403 et des corbeilles à papier)</v>
      </c>
      <c r="C2439">
        <v>3589632</v>
      </c>
      <c r="D2439">
        <v>3461</v>
      </c>
    </row>
    <row r="2440" spans="1:4" x14ac:dyDescent="0.25">
      <c r="A2440" t="str">
        <f>T("   830520")</f>
        <v xml:space="preserve">   830520</v>
      </c>
      <c r="B2440" t="str">
        <f>T("   Agrafes présentées en barrettes, en métaux communs")</f>
        <v xml:space="preserve">   Agrafes présentées en barrettes, en métaux communs</v>
      </c>
      <c r="C2440">
        <v>3671682</v>
      </c>
      <c r="D2440">
        <v>8400</v>
      </c>
    </row>
    <row r="2441" spans="1:4" x14ac:dyDescent="0.25">
      <c r="A2441" t="str">
        <f>T("   830590")</f>
        <v xml:space="preserve">   830590</v>
      </c>
      <c r="B2441" t="s">
        <v>376</v>
      </c>
      <c r="C2441">
        <v>1159341</v>
      </c>
      <c r="D2441">
        <v>2200</v>
      </c>
    </row>
    <row r="2442" spans="1:4" x14ac:dyDescent="0.25">
      <c r="A2442" t="str">
        <f>T("   830629")</f>
        <v xml:space="preserve">   830629</v>
      </c>
      <c r="B2442" t="str">
        <f>T("   Statuettes et autres objets d'ornement, en métaux communs, ni argentés, ni dorés, ni platinés (sauf objets d'art, pièces de collection et antiquités)")</f>
        <v xml:space="preserve">   Statuettes et autres objets d'ornement, en métaux communs, ni argentés, ni dorés, ni platinés (sauf objets d'art, pièces de collection et antiquités)</v>
      </c>
      <c r="C2442">
        <v>81490</v>
      </c>
      <c r="D2442">
        <v>2000</v>
      </c>
    </row>
    <row r="2443" spans="1:4" x14ac:dyDescent="0.25">
      <c r="A2443" t="str">
        <f>T("   830630")</f>
        <v xml:space="preserve">   830630</v>
      </c>
      <c r="B2443" t="str">
        <f>T("   Cadres pour photographies, gravures ou simil., en métaux communs; miroirs, en métaux communs (sauf éléments optiques)")</f>
        <v xml:space="preserve">   Cadres pour photographies, gravures ou simil., en métaux communs; miroirs, en métaux communs (sauf éléments optiques)</v>
      </c>
      <c r="C2443">
        <v>2907121</v>
      </c>
      <c r="D2443">
        <v>8044</v>
      </c>
    </row>
    <row r="2444" spans="1:4" x14ac:dyDescent="0.25">
      <c r="A2444" t="str">
        <f>T("   830710")</f>
        <v xml:space="preserve">   830710</v>
      </c>
      <c r="B2444" t="str">
        <f>T("   Tuyaux flexibles en fer ou en acier, même avec accessoires")</f>
        <v xml:space="preserve">   Tuyaux flexibles en fer ou en acier, même avec accessoires</v>
      </c>
      <c r="C2444">
        <v>17478710</v>
      </c>
      <c r="D2444">
        <v>108000</v>
      </c>
    </row>
    <row r="2445" spans="1:4" x14ac:dyDescent="0.25">
      <c r="A2445" t="str">
        <f>T("   830790")</f>
        <v xml:space="preserve">   830790</v>
      </c>
      <c r="B2445" t="str">
        <f>T("   Tuyaux flexibles en métaux communs autres que le fer ou l'acier, même avec accessoires")</f>
        <v xml:space="preserve">   Tuyaux flexibles en métaux communs autres que le fer ou l'acier, même avec accessoires</v>
      </c>
      <c r="C2445">
        <v>25406</v>
      </c>
      <c r="D2445">
        <v>38</v>
      </c>
    </row>
    <row r="2446" spans="1:4" x14ac:dyDescent="0.25">
      <c r="A2446" t="str">
        <f>T("   830810")</f>
        <v xml:space="preserve">   830810</v>
      </c>
      <c r="B2446" t="str">
        <f>T("   Agrafes, crochets et oeillets, en métaux communs, pour vêtements, chaussures, bâches, maroquinerie, ou pour toutes confections ou équipements")</f>
        <v xml:space="preserve">   Agrafes, crochets et oeillets, en métaux communs, pour vêtements, chaussures, bâches, maroquinerie, ou pour toutes confections ou équipements</v>
      </c>
      <c r="C2446">
        <v>588597</v>
      </c>
      <c r="D2446">
        <v>988</v>
      </c>
    </row>
    <row r="2447" spans="1:4" x14ac:dyDescent="0.25">
      <c r="A2447" t="str">
        <f>T("   830820")</f>
        <v xml:space="preserve">   830820</v>
      </c>
      <c r="B2447" t="str">
        <f>T("   Rivets tubulaires ou à tige fendue, en métaux communs")</f>
        <v xml:space="preserve">   Rivets tubulaires ou à tige fendue, en métaux communs</v>
      </c>
      <c r="C2447">
        <v>5571964</v>
      </c>
      <c r="D2447">
        <v>5588</v>
      </c>
    </row>
    <row r="2448" spans="1:4" x14ac:dyDescent="0.25">
      <c r="A2448" t="str">
        <f>T("   830890")</f>
        <v xml:space="preserve">   830890</v>
      </c>
      <c r="B2448" t="s">
        <v>377</v>
      </c>
      <c r="C2448">
        <v>78354</v>
      </c>
      <c r="D2448">
        <v>350</v>
      </c>
    </row>
    <row r="2449" spans="1:4" x14ac:dyDescent="0.25">
      <c r="A2449" t="str">
        <f>T("   830910")</f>
        <v xml:space="preserve">   830910</v>
      </c>
      <c r="B2449" t="str">
        <f>T("   Bouchons-couronnes en métaux communs")</f>
        <v xml:space="preserve">   Bouchons-couronnes en métaux communs</v>
      </c>
      <c r="C2449">
        <v>1109480</v>
      </c>
      <c r="D2449">
        <v>500</v>
      </c>
    </row>
    <row r="2450" spans="1:4" x14ac:dyDescent="0.25">
      <c r="A2450" t="str">
        <f>T("   830990")</f>
        <v xml:space="preserve">   830990</v>
      </c>
      <c r="B2450" t="str">
        <f>T("   Bouchons [y.c. les bouchons à pas de vis et les bouchons-verseurs], couvercles, capsules pour bouteilles, bondes filetées, plaques de bondes, scellés et autres accessoires d'emballage, en métaux communs (à l'excl. des bouchons-couronnes)")</f>
        <v xml:space="preserve">   Bouchons [y.c. les bouchons à pas de vis et les bouchons-verseurs], couvercles, capsules pour bouteilles, bondes filetées, plaques de bondes, scellés et autres accessoires d'emballage, en métaux communs (à l'excl. des bouchons-couronnes)</v>
      </c>
      <c r="C2450">
        <v>2215551</v>
      </c>
      <c r="D2450">
        <v>3492</v>
      </c>
    </row>
    <row r="2451" spans="1:4" x14ac:dyDescent="0.25">
      <c r="A2451" t="str">
        <f>T("   831000")</f>
        <v xml:space="preserve">   831000</v>
      </c>
      <c r="B2451" t="s">
        <v>378</v>
      </c>
      <c r="C2451">
        <v>429143</v>
      </c>
      <c r="D2451">
        <v>995</v>
      </c>
    </row>
    <row r="2452" spans="1:4" x14ac:dyDescent="0.25">
      <c r="A2452" t="str">
        <f>T("   831110")</f>
        <v xml:space="preserve">   831110</v>
      </c>
      <c r="B2452" t="str">
        <f>T("   ÉLECTRODES ENROBÉES EN MÉTAUX COMMUNS, POUR LE SOUDAGE À L'ARC")</f>
        <v xml:space="preserve">   ÉLECTRODES ENROBÉES EN MÉTAUX COMMUNS, POUR LE SOUDAGE À L'ARC</v>
      </c>
      <c r="C2452">
        <v>33456186</v>
      </c>
      <c r="D2452">
        <v>235090</v>
      </c>
    </row>
    <row r="2453" spans="1:4" x14ac:dyDescent="0.25">
      <c r="A2453" t="str">
        <f>T("   831190")</f>
        <v xml:space="preserve">   831190</v>
      </c>
      <c r="B2453" t="s">
        <v>380</v>
      </c>
      <c r="C2453">
        <v>3122486</v>
      </c>
      <c r="D2453">
        <v>4888</v>
      </c>
    </row>
    <row r="2454" spans="1:4" x14ac:dyDescent="0.25">
      <c r="A2454" t="str">
        <f>T("   840310")</f>
        <v xml:space="preserve">   840310</v>
      </c>
      <c r="B2454" t="str">
        <f>T("   Chaudières pour le chauffage central, non-électriques (sauf chaudières à vapeur et chaudières dites -à eau surchauffée- du n° 8402)")</f>
        <v xml:space="preserve">   Chaudières pour le chauffage central, non-électriques (sauf chaudières à vapeur et chaudières dites -à eau surchauffée- du n° 8402)</v>
      </c>
      <c r="C2454">
        <v>14877167</v>
      </c>
      <c r="D2454">
        <v>31923</v>
      </c>
    </row>
    <row r="2455" spans="1:4" x14ac:dyDescent="0.25">
      <c r="A2455" t="str">
        <f>T("   840732")</f>
        <v xml:space="preserve">   840732</v>
      </c>
      <c r="B2455" t="s">
        <v>384</v>
      </c>
      <c r="C2455">
        <v>3364788</v>
      </c>
      <c r="D2455">
        <v>795</v>
      </c>
    </row>
    <row r="2456" spans="1:4" x14ac:dyDescent="0.25">
      <c r="A2456" t="str">
        <f>T("   840790")</f>
        <v xml:space="preserve">   840790</v>
      </c>
      <c r="B2456" t="s">
        <v>387</v>
      </c>
      <c r="C2456">
        <v>362876</v>
      </c>
      <c r="D2456">
        <v>514</v>
      </c>
    </row>
    <row r="2457" spans="1:4" x14ac:dyDescent="0.25">
      <c r="A2457" t="str">
        <f>T("   840991")</f>
        <v xml:space="preserve">   840991</v>
      </c>
      <c r="B2457" t="str">
        <f>T("   Parties reconnaissables comme étant exclusivement ou principalement destinées aux moteurs à piston à allumage par étincelles, n.d.a.")</f>
        <v xml:space="preserve">   Parties reconnaissables comme étant exclusivement ou principalement destinées aux moteurs à piston à allumage par étincelles, n.d.a.</v>
      </c>
      <c r="C2457">
        <v>512545</v>
      </c>
      <c r="D2457">
        <v>1000</v>
      </c>
    </row>
    <row r="2458" spans="1:4" x14ac:dyDescent="0.25">
      <c r="A2458" t="str">
        <f>T("   840999")</f>
        <v xml:space="preserve">   840999</v>
      </c>
      <c r="B2458" t="str">
        <f>T("   Parties reconnaissables comme étant exclusivement ou principalement destinées aux moteurs à piston à allumage par compression, n.d.a.")</f>
        <v xml:space="preserve">   Parties reconnaissables comme étant exclusivement ou principalement destinées aux moteurs à piston à allumage par compression, n.d.a.</v>
      </c>
      <c r="C2458">
        <v>1253810</v>
      </c>
      <c r="D2458">
        <v>100</v>
      </c>
    </row>
    <row r="2459" spans="1:4" x14ac:dyDescent="0.25">
      <c r="A2459" t="str">
        <f>T("   841319")</f>
        <v xml:space="preserve">   841319</v>
      </c>
      <c r="B2459" t="str">
        <f>T("   Pompes pour liquides, avec dispositif mesureur ou conçues pour en comporter (sauf pompes pour la distribution de carburants ou lubrifiants, des types utilisés dans les stations-service ou les garages)")</f>
        <v xml:space="preserve">   Pompes pour liquides, avec dispositif mesureur ou conçues pour en comporter (sauf pompes pour la distribution de carburants ou lubrifiants, des types utilisés dans les stations-service ou les garages)</v>
      </c>
      <c r="C2459">
        <v>508345</v>
      </c>
      <c r="D2459">
        <v>690</v>
      </c>
    </row>
    <row r="2460" spans="1:4" x14ac:dyDescent="0.25">
      <c r="A2460" t="str">
        <f>T("   841320")</f>
        <v xml:space="preserve">   841320</v>
      </c>
      <c r="B2460" t="str">
        <f>T("   Pompes à bras pour liquides (sauf les pompes avec dispositif mesureur ou conçues pour en comporter du n° 8413.11 ou 8413.19)")</f>
        <v xml:space="preserve">   Pompes à bras pour liquides (sauf les pompes avec dispositif mesureur ou conçues pour en comporter du n° 8413.11 ou 8413.19)</v>
      </c>
      <c r="C2460">
        <v>186000</v>
      </c>
      <c r="D2460">
        <v>800</v>
      </c>
    </row>
    <row r="2461" spans="1:4" x14ac:dyDescent="0.25">
      <c r="A2461" t="str">
        <f>T("   841330")</f>
        <v xml:space="preserve">   841330</v>
      </c>
      <c r="B2461" t="str">
        <f>T("   Pompes à carburant, à huile ou à liquide de refroidissement pour moteurs à allumage par étincelles ou par compression")</f>
        <v xml:space="preserve">   Pompes à carburant, à huile ou à liquide de refroidissement pour moteurs à allumage par étincelles ou par compression</v>
      </c>
      <c r="C2461">
        <v>366703</v>
      </c>
      <c r="D2461">
        <v>851</v>
      </c>
    </row>
    <row r="2462" spans="1:4" x14ac:dyDescent="0.25">
      <c r="A2462" t="str">
        <f>T("   841340")</f>
        <v xml:space="preserve">   841340</v>
      </c>
      <c r="B2462" t="str">
        <f>T("   Pompes à béton")</f>
        <v xml:space="preserve">   Pompes à béton</v>
      </c>
      <c r="C2462">
        <v>47398358</v>
      </c>
      <c r="D2462">
        <v>6600</v>
      </c>
    </row>
    <row r="2463" spans="1:4" x14ac:dyDescent="0.25">
      <c r="A2463" t="str">
        <f>T("   841381")</f>
        <v xml:space="preserve">   841381</v>
      </c>
      <c r="B2463" t="s">
        <v>393</v>
      </c>
      <c r="C2463">
        <v>51251360</v>
      </c>
      <c r="D2463">
        <v>48349</v>
      </c>
    </row>
    <row r="2464" spans="1:4" x14ac:dyDescent="0.25">
      <c r="A2464" t="str">
        <f>T("   841382")</f>
        <v xml:space="preserve">   841382</v>
      </c>
      <c r="B2464" t="str">
        <f>T("   Elévateurs à liquides (à l'excl. des pompes)")</f>
        <v xml:space="preserve">   Elévateurs à liquides (à l'excl. des pompes)</v>
      </c>
      <c r="C2464">
        <v>2283308</v>
      </c>
      <c r="D2464">
        <v>2838</v>
      </c>
    </row>
    <row r="2465" spans="1:4" x14ac:dyDescent="0.25">
      <c r="A2465" t="str">
        <f>T("   841391")</f>
        <v xml:space="preserve">   841391</v>
      </c>
      <c r="B2465" t="str">
        <f>T("   Parties de pompes pour liquides, n.d.a.")</f>
        <v xml:space="preserve">   Parties de pompes pour liquides, n.d.a.</v>
      </c>
      <c r="C2465">
        <v>23275717</v>
      </c>
      <c r="D2465">
        <v>6056</v>
      </c>
    </row>
    <row r="2466" spans="1:4" x14ac:dyDescent="0.25">
      <c r="A2466" t="str">
        <f>T("   841410")</f>
        <v xml:space="preserve">   841410</v>
      </c>
      <c r="B2466" t="str">
        <f>T("   Pompes à vide")</f>
        <v xml:space="preserve">   Pompes à vide</v>
      </c>
      <c r="C2466">
        <v>824482</v>
      </c>
      <c r="D2466">
        <v>2750</v>
      </c>
    </row>
    <row r="2467" spans="1:4" x14ac:dyDescent="0.25">
      <c r="A2467" t="str">
        <f>T("   841420")</f>
        <v xml:space="preserve">   841420</v>
      </c>
      <c r="B2467" t="str">
        <f>T("   Pompes à air, à main ou à pied")</f>
        <v xml:space="preserve">   Pompes à air, à main ou à pied</v>
      </c>
      <c r="C2467">
        <v>2839976</v>
      </c>
      <c r="D2467">
        <v>1600</v>
      </c>
    </row>
    <row r="2468" spans="1:4" x14ac:dyDescent="0.25">
      <c r="A2468" t="str">
        <f>T("   841430")</f>
        <v xml:space="preserve">   841430</v>
      </c>
      <c r="B2468" t="str">
        <f>T("   Compresseurs des types utilisés pour équipements frigorifiques")</f>
        <v xml:space="preserve">   Compresseurs des types utilisés pour équipements frigorifiques</v>
      </c>
      <c r="C2468">
        <v>671670</v>
      </c>
      <c r="D2468">
        <v>276</v>
      </c>
    </row>
    <row r="2469" spans="1:4" x14ac:dyDescent="0.25">
      <c r="A2469" t="str">
        <f>T("   841440")</f>
        <v xml:space="preserve">   841440</v>
      </c>
      <c r="B2469" t="str">
        <f>T("   Compresseurs d'air montés sur châssis à roues et remorquables")</f>
        <v xml:space="preserve">   Compresseurs d'air montés sur châssis à roues et remorquables</v>
      </c>
      <c r="C2469">
        <v>4739975</v>
      </c>
      <c r="D2469">
        <v>4103</v>
      </c>
    </row>
    <row r="2470" spans="1:4" x14ac:dyDescent="0.25">
      <c r="A2470" t="str">
        <f>T("   841451")</f>
        <v xml:space="preserve">   841451</v>
      </c>
      <c r="B2470" t="str">
        <f>T("   Ventilateurs de table, de sol, muraux, plafonniers, de toitures ou de fenêtres, à moteur électrique incorporé, d'une puissance &lt;= 125 W")</f>
        <v xml:space="preserve">   Ventilateurs de table, de sol, muraux, plafonniers, de toitures ou de fenêtres, à moteur électrique incorporé, d'une puissance &lt;= 125 W</v>
      </c>
      <c r="C2470">
        <v>55867991</v>
      </c>
      <c r="D2470">
        <v>125976</v>
      </c>
    </row>
    <row r="2471" spans="1:4" x14ac:dyDescent="0.25">
      <c r="A2471" t="str">
        <f>T("   841459")</f>
        <v xml:space="preserve">   841459</v>
      </c>
      <c r="B2471" t="str">
        <f>T("   Ventilateurs (sauf ventilateurs de table, de sol, muraux, plafonniers, de toitures ou de fenêtres, à moteur électrique incorporé, d'une puissance &lt;= 125 W)")</f>
        <v xml:space="preserve">   Ventilateurs (sauf ventilateurs de table, de sol, muraux, plafonniers, de toitures ou de fenêtres, à moteur électrique incorporé, d'une puissance &lt;= 125 W)</v>
      </c>
      <c r="C2471">
        <v>22375927</v>
      </c>
      <c r="D2471">
        <v>53399</v>
      </c>
    </row>
    <row r="2472" spans="1:4" x14ac:dyDescent="0.25">
      <c r="A2472" t="str">
        <f>T("   841480")</f>
        <v xml:space="preserve">   841480</v>
      </c>
      <c r="B2472" t="s">
        <v>394</v>
      </c>
      <c r="C2472">
        <v>8205459</v>
      </c>
      <c r="D2472">
        <v>15733</v>
      </c>
    </row>
    <row r="2473" spans="1:4" x14ac:dyDescent="0.25">
      <c r="A2473" t="str">
        <f>T("   841490")</f>
        <v xml:space="preserve">   841490</v>
      </c>
      <c r="B2473" t="str">
        <f>T("   Parties de pompes à air ou à vide, de compresseurs d'air ou d'autres gaz et de ventilateurs, de hottes aspirantes à extraction ou à recyclage, à ventilateur incorporé, n.d.a.")</f>
        <v xml:space="preserve">   Parties de pompes à air ou à vide, de compresseurs d'air ou d'autres gaz et de ventilateurs, de hottes aspirantes à extraction ou à recyclage, à ventilateur incorporé, n.d.a.</v>
      </c>
      <c r="C2473">
        <v>735188</v>
      </c>
      <c r="D2473">
        <v>2540</v>
      </c>
    </row>
    <row r="2474" spans="1:4" x14ac:dyDescent="0.25">
      <c r="A2474" t="str">
        <f>T("   841510")</f>
        <v xml:space="preserve">   841510</v>
      </c>
      <c r="B2474" t="s">
        <v>395</v>
      </c>
      <c r="C2474">
        <v>132332432</v>
      </c>
      <c r="D2474">
        <v>142316.5</v>
      </c>
    </row>
    <row r="2475" spans="1:4" x14ac:dyDescent="0.25">
      <c r="A2475" t="str">
        <f>T("   841581")</f>
        <v xml:space="preserve">   841581</v>
      </c>
      <c r="B2475" t="s">
        <v>396</v>
      </c>
      <c r="C2475">
        <v>27692526</v>
      </c>
      <c r="D2475">
        <v>9639</v>
      </c>
    </row>
    <row r="2476" spans="1:4" x14ac:dyDescent="0.25">
      <c r="A2476" t="str">
        <f>T("   841582")</f>
        <v xml:space="preserve">   841582</v>
      </c>
      <c r="B2476" t="s">
        <v>397</v>
      </c>
      <c r="C2476">
        <v>17064952</v>
      </c>
      <c r="D2476">
        <v>28646</v>
      </c>
    </row>
    <row r="2477" spans="1:4" x14ac:dyDescent="0.25">
      <c r="A2477" t="str">
        <f>T("   841583")</f>
        <v xml:space="preserve">   841583</v>
      </c>
      <c r="B2477" t="s">
        <v>398</v>
      </c>
      <c r="C2477">
        <v>400000</v>
      </c>
      <c r="D2477">
        <v>300</v>
      </c>
    </row>
    <row r="2478" spans="1:4" x14ac:dyDescent="0.25">
      <c r="A2478" t="str">
        <f>T("   841590")</f>
        <v xml:space="preserve">   841590</v>
      </c>
      <c r="B2478" t="str">
        <f>T("   Parties de machines et appareils pour le conditionnement de l'air comprenant un ventilateur à moteur et des dispositifs propres à modifier la température et l'humidité de l'air, n.d.a.")</f>
        <v xml:space="preserve">   Parties de machines et appareils pour le conditionnement de l'air comprenant un ventilateur à moteur et des dispositifs propres à modifier la température et l'humidité de l'air, n.d.a.</v>
      </c>
      <c r="C2478">
        <v>9292772</v>
      </c>
      <c r="D2478">
        <v>22645</v>
      </c>
    </row>
    <row r="2479" spans="1:4" x14ac:dyDescent="0.25">
      <c r="A2479" t="str">
        <f>T("   841790")</f>
        <v xml:space="preserve">   841790</v>
      </c>
      <c r="B2479" t="str">
        <f>T("   Parties de fours industriels ou de laboratoire non-électriques, y.c. d'incinérateurs, n.d.a.")</f>
        <v xml:space="preserve">   Parties de fours industriels ou de laboratoire non-électriques, y.c. d'incinérateurs, n.d.a.</v>
      </c>
      <c r="C2479">
        <v>159857</v>
      </c>
      <c r="D2479">
        <v>31</v>
      </c>
    </row>
    <row r="2480" spans="1:4" x14ac:dyDescent="0.25">
      <c r="A2480" t="str">
        <f>T("   841810")</f>
        <v xml:space="preserve">   841810</v>
      </c>
      <c r="B2480" t="str">
        <f>T("   Réfrigérateurs et congélateurs-conservateurs combinés, avec portes extérieures séparées")</f>
        <v xml:space="preserve">   Réfrigérateurs et congélateurs-conservateurs combinés, avec portes extérieures séparées</v>
      </c>
      <c r="C2480">
        <v>57986701</v>
      </c>
      <c r="D2480">
        <v>58511</v>
      </c>
    </row>
    <row r="2481" spans="1:4" x14ac:dyDescent="0.25">
      <c r="A2481" t="str">
        <f>T("   841821")</f>
        <v xml:space="preserve">   841821</v>
      </c>
      <c r="B2481" t="str">
        <f>T("   Réfrigérateurs ménagers à compression")</f>
        <v xml:space="preserve">   Réfrigérateurs ménagers à compression</v>
      </c>
      <c r="C2481">
        <v>10149840</v>
      </c>
      <c r="D2481">
        <v>7630</v>
      </c>
    </row>
    <row r="2482" spans="1:4" x14ac:dyDescent="0.25">
      <c r="A2482" t="str">
        <f>T("   841822")</f>
        <v xml:space="preserve">   841822</v>
      </c>
      <c r="B2482" t="str">
        <f>T("   Réfrigérateurs ménagers à absorption, électriques")</f>
        <v xml:space="preserve">   Réfrigérateurs ménagers à absorption, électriques</v>
      </c>
      <c r="C2482">
        <v>185691</v>
      </c>
      <c r="D2482">
        <v>148</v>
      </c>
    </row>
    <row r="2483" spans="1:4" x14ac:dyDescent="0.25">
      <c r="A2483" t="str">
        <f>T("   841829")</f>
        <v xml:space="preserve">   841829</v>
      </c>
      <c r="B2483" t="str">
        <f>T("   Réfrigérateurs ménagers à absorption, non-électriques")</f>
        <v xml:space="preserve">   Réfrigérateurs ménagers à absorption, non-électriques</v>
      </c>
      <c r="C2483">
        <v>103671022</v>
      </c>
      <c r="D2483">
        <v>179185</v>
      </c>
    </row>
    <row r="2484" spans="1:4" x14ac:dyDescent="0.25">
      <c r="A2484" t="str">
        <f>T("   841830")</f>
        <v xml:space="preserve">   841830</v>
      </c>
      <c r="B2484" t="str">
        <f>T("   Meubles congélateurs-conservateurs du type coffre, capacité &lt;= 800 l")</f>
        <v xml:space="preserve">   Meubles congélateurs-conservateurs du type coffre, capacité &lt;= 800 l</v>
      </c>
      <c r="C2484">
        <v>37847731</v>
      </c>
      <c r="D2484">
        <v>20623</v>
      </c>
    </row>
    <row r="2485" spans="1:4" x14ac:dyDescent="0.25">
      <c r="A2485" t="str">
        <f>T("   841840")</f>
        <v xml:space="preserve">   841840</v>
      </c>
      <c r="B2485" t="str">
        <f>T("   Meubles congélateurs-conservateurs du type armoire, capacité &lt;= 900 l")</f>
        <v xml:space="preserve">   Meubles congélateurs-conservateurs du type armoire, capacité &lt;= 900 l</v>
      </c>
      <c r="C2485">
        <v>11145745</v>
      </c>
      <c r="D2485">
        <v>5388</v>
      </c>
    </row>
    <row r="2486" spans="1:4" x14ac:dyDescent="0.25">
      <c r="A2486" t="str">
        <f>T("   841850")</f>
        <v xml:space="preserve">   841850</v>
      </c>
      <c r="B2486" t="s">
        <v>400</v>
      </c>
      <c r="C2486">
        <v>78250217</v>
      </c>
      <c r="D2486">
        <v>49510</v>
      </c>
    </row>
    <row r="2487" spans="1:4" x14ac:dyDescent="0.25">
      <c r="A2487" t="str">
        <f>T("   841861")</f>
        <v xml:space="preserve">   841861</v>
      </c>
      <c r="B2487" t="str">
        <f>T("   Groupes à compression pour la production du froid, dont le condenseur est constitué par un échangeur de chaleur")</f>
        <v xml:space="preserve">   Groupes à compression pour la production du froid, dont le condenseur est constitué par un échangeur de chaleur</v>
      </c>
      <c r="C2487">
        <v>778503</v>
      </c>
      <c r="D2487">
        <v>239</v>
      </c>
    </row>
    <row r="2488" spans="1:4" x14ac:dyDescent="0.25">
      <c r="A2488" t="str">
        <f>T("   841869")</f>
        <v xml:space="preserve">   841869</v>
      </c>
      <c r="B2488" t="str">
        <f>T("   Matériel, machines et appareils pour la production du froid ainsi que pompes à chaleur à absorption (autres que réfrigérateurs et meubles congélateurs-conservateurs)")</f>
        <v xml:space="preserve">   Matériel, machines et appareils pour la production du froid ainsi que pompes à chaleur à absorption (autres que réfrigérateurs et meubles congélateurs-conservateurs)</v>
      </c>
      <c r="C2488">
        <v>11334575</v>
      </c>
      <c r="D2488">
        <v>15789</v>
      </c>
    </row>
    <row r="2489" spans="1:4" x14ac:dyDescent="0.25">
      <c r="A2489" t="str">
        <f>T("   841899")</f>
        <v xml:space="preserve">   841899</v>
      </c>
      <c r="B2489" t="str">
        <f>T("   Parties de réfrigérateurs et de congélateurs-conservateurs du type armoire et du type coffre et d'autres matériel, machines et appareils pour la production du froid, parties de pompes à chaleur, n.d.a.")</f>
        <v xml:space="preserve">   Parties de réfrigérateurs et de congélateurs-conservateurs du type armoire et du type coffre et d'autres matériel, machines et appareils pour la production du froid, parties de pompes à chaleur, n.d.a.</v>
      </c>
      <c r="C2489">
        <v>4946257</v>
      </c>
      <c r="D2489">
        <v>7505</v>
      </c>
    </row>
    <row r="2490" spans="1:4" x14ac:dyDescent="0.25">
      <c r="A2490" t="str">
        <f>T("   841919")</f>
        <v xml:space="preserve">   841919</v>
      </c>
      <c r="B2490" t="str">
        <f>T("   Chauffe-eau non-électriques, à chauffage instantané ou à accumulation (à l'excl. des chauffe-eau instantanés à gaz et des chaudières ou générateurs mixtes pour chauffage central)")</f>
        <v xml:space="preserve">   Chauffe-eau non-électriques, à chauffage instantané ou à accumulation (à l'excl. des chauffe-eau instantanés à gaz et des chaudières ou générateurs mixtes pour chauffage central)</v>
      </c>
      <c r="C2490">
        <v>965002</v>
      </c>
      <c r="D2490">
        <v>1153</v>
      </c>
    </row>
    <row r="2491" spans="1:4" x14ac:dyDescent="0.25">
      <c r="A2491" t="str">
        <f>T("   841920")</f>
        <v xml:space="preserve">   841920</v>
      </c>
      <c r="B2491" t="str">
        <f>T("   Stérilisateurs médico-chirurgicaux ou de laboratoire")</f>
        <v xml:space="preserve">   Stérilisateurs médico-chirurgicaux ou de laboratoire</v>
      </c>
      <c r="C2491">
        <v>383656</v>
      </c>
      <c r="D2491">
        <v>225</v>
      </c>
    </row>
    <row r="2492" spans="1:4" x14ac:dyDescent="0.25">
      <c r="A2492" t="str">
        <f>T("   841939")</f>
        <v xml:space="preserve">   841939</v>
      </c>
      <c r="B2492" t="str">
        <f>T("   Séchoirs (sauf pour produits agricoles, pâtes à papier, papier ou carton, pour fils, tissus ou autres matières textiles, pour bouteilles ou autres récipients, sèche-cheveux, sèche-mains et sauf appareils ménagers)")</f>
        <v xml:space="preserve">   Séchoirs (sauf pour produits agricoles, pâtes à papier, papier ou carton, pour fils, tissus ou autres matières textiles, pour bouteilles ou autres récipients, sèche-cheveux, sèche-mains et sauf appareils ménagers)</v>
      </c>
      <c r="C2492">
        <v>61834</v>
      </c>
      <c r="D2492">
        <v>2200</v>
      </c>
    </row>
    <row r="2493" spans="1:4" x14ac:dyDescent="0.25">
      <c r="A2493" t="str">
        <f>T("   841981")</f>
        <v xml:space="preserve">   841981</v>
      </c>
      <c r="B2493" t="str">
        <f>T("   Appareils et dispositifs pour la préparation de boissons chaudes ou la cuisson ou le chauffage des aliments (sauf appareils domestiques)")</f>
        <v xml:space="preserve">   Appareils et dispositifs pour la préparation de boissons chaudes ou la cuisson ou le chauffage des aliments (sauf appareils domestiques)</v>
      </c>
      <c r="C2493">
        <v>1114009</v>
      </c>
      <c r="D2493">
        <v>210</v>
      </c>
    </row>
    <row r="2494" spans="1:4" x14ac:dyDescent="0.25">
      <c r="A2494" t="str">
        <f>T("   841989")</f>
        <v xml:space="preserve">   841989</v>
      </c>
      <c r="B2494" t="s">
        <v>401</v>
      </c>
      <c r="C2494">
        <v>2756501</v>
      </c>
      <c r="D2494">
        <v>1643</v>
      </c>
    </row>
    <row r="2495" spans="1:4" x14ac:dyDescent="0.25">
      <c r="A2495" t="str">
        <f>T("   842121")</f>
        <v xml:space="preserve">   842121</v>
      </c>
      <c r="B2495" t="str">
        <f>T("   Appareils pour la filtration ou l'épuration des eaux")</f>
        <v xml:space="preserve">   Appareils pour la filtration ou l'épuration des eaux</v>
      </c>
      <c r="C2495">
        <v>3468878</v>
      </c>
      <c r="D2495">
        <v>2407</v>
      </c>
    </row>
    <row r="2496" spans="1:4" x14ac:dyDescent="0.25">
      <c r="A2496" t="str">
        <f>T("   842123")</f>
        <v xml:space="preserve">   842123</v>
      </c>
      <c r="B2496" t="str">
        <f>T("   Appareils pour la filtration des huiles minérales et carburants pour les moteurs à allumage par étincelles ou par compression")</f>
        <v xml:space="preserve">   Appareils pour la filtration des huiles minérales et carburants pour les moteurs à allumage par étincelles ou par compression</v>
      </c>
      <c r="C2496">
        <v>1896904</v>
      </c>
      <c r="D2496">
        <v>10636</v>
      </c>
    </row>
    <row r="2497" spans="1:4" x14ac:dyDescent="0.25">
      <c r="A2497" t="str">
        <f>T("   842129")</f>
        <v xml:space="preserve">   842129</v>
      </c>
      <c r="B2497" t="str">
        <f>T("   Appareils pour la filtration ou l'épuration des liquides (à l'excl. de l'eau ou des boissons, des huiles minérales et carburants pour les moteurs à allumage par étincelles ou par compression ainsi que les reins artificiels)")</f>
        <v xml:space="preserve">   Appareils pour la filtration ou l'épuration des liquides (à l'excl. de l'eau ou des boissons, des huiles minérales et carburants pour les moteurs à allumage par étincelles ou par compression ainsi que les reins artificiels)</v>
      </c>
      <c r="C2497">
        <v>1654865</v>
      </c>
      <c r="D2497">
        <v>1467</v>
      </c>
    </row>
    <row r="2498" spans="1:4" x14ac:dyDescent="0.25">
      <c r="A2498" t="str">
        <f>T("   842199")</f>
        <v xml:space="preserve">   842199</v>
      </c>
      <c r="B2498" t="str">
        <f>T("   Parties d'appareils pour la filtration ou l'épuration des liquides ou des gaz, n.d.a.")</f>
        <v xml:space="preserve">   Parties d'appareils pour la filtration ou l'épuration des liquides ou des gaz, n.d.a.</v>
      </c>
      <c r="C2498">
        <v>750222</v>
      </c>
      <c r="D2498">
        <v>905</v>
      </c>
    </row>
    <row r="2499" spans="1:4" x14ac:dyDescent="0.25">
      <c r="A2499" t="str">
        <f>T("   842219")</f>
        <v xml:space="preserve">   842219</v>
      </c>
      <c r="B2499" t="str">
        <f>T("   Machines à laver la vaisselle (autres que de type ménager)")</f>
        <v xml:space="preserve">   Machines à laver la vaisselle (autres que de type ménager)</v>
      </c>
      <c r="C2499">
        <v>1006947</v>
      </c>
      <c r="D2499">
        <v>1144</v>
      </c>
    </row>
    <row r="2500" spans="1:4" x14ac:dyDescent="0.25">
      <c r="A2500" t="str">
        <f>T("   842230")</f>
        <v xml:space="preserve">   842230</v>
      </c>
      <c r="B2500" t="str">
        <f>T("   Machines et appareils à remplir, fermer, boucher ou étiqueter les bouteilles, boîtes, sacs ou autres contenants; machines et appareils à capsuler les bouteilles, pots, tubes et contenants analogues; appareils à gazéifier les boissons")</f>
        <v xml:space="preserve">   Machines et appareils à remplir, fermer, boucher ou étiqueter les bouteilles, boîtes, sacs ou autres contenants; machines et appareils à capsuler les bouteilles, pots, tubes et contenants analogues; appareils à gazéifier les boissons</v>
      </c>
      <c r="C2500">
        <v>27462493</v>
      </c>
      <c r="D2500">
        <v>18755</v>
      </c>
    </row>
    <row r="2501" spans="1:4" x14ac:dyDescent="0.25">
      <c r="A2501" t="str">
        <f>T("   842240")</f>
        <v xml:space="preserve">   842240</v>
      </c>
      <c r="B2501" t="s">
        <v>402</v>
      </c>
      <c r="C2501">
        <v>13496413</v>
      </c>
      <c r="D2501">
        <v>6588</v>
      </c>
    </row>
    <row r="2502" spans="1:4" x14ac:dyDescent="0.25">
      <c r="A2502" t="str">
        <f>T("   842290")</f>
        <v xml:space="preserve">   842290</v>
      </c>
      <c r="B2502" t="str">
        <f>T("   Parties des machines à laver la vaisselle, des machines à empaqueter ou à emballer les marchandises et autres machines et appareils du n° 8422, n.d.a.")</f>
        <v xml:space="preserve">   Parties des machines à laver la vaisselle, des machines à empaqueter ou à emballer les marchandises et autres machines et appareils du n° 8422, n.d.a.</v>
      </c>
      <c r="C2502">
        <v>9668954</v>
      </c>
      <c r="D2502">
        <v>3065</v>
      </c>
    </row>
    <row r="2503" spans="1:4" x14ac:dyDescent="0.25">
      <c r="A2503" t="str">
        <f>T("   842310")</f>
        <v xml:space="preserve">   842310</v>
      </c>
      <c r="B2503" t="str">
        <f>T("   Pèse-personnes, y.c. les pèse-bébés; balances de ménage")</f>
        <v xml:space="preserve">   Pèse-personnes, y.c. les pèse-bébés; balances de ménage</v>
      </c>
      <c r="C2503">
        <v>3781450</v>
      </c>
      <c r="D2503">
        <v>7196</v>
      </c>
    </row>
    <row r="2504" spans="1:4" x14ac:dyDescent="0.25">
      <c r="A2504" t="str">
        <f>T("   842330")</f>
        <v xml:space="preserve">   842330</v>
      </c>
      <c r="B2504" t="str">
        <f>T("   Bascules à pesées constantes et balances et bascules ensacheuses ou doseuses (à l'excl. des balances à pesage continu sur transporteurs)")</f>
        <v xml:space="preserve">   Bascules à pesées constantes et balances et bascules ensacheuses ou doseuses (à l'excl. des balances à pesage continu sur transporteurs)</v>
      </c>
      <c r="C2504">
        <v>3685232</v>
      </c>
      <c r="D2504">
        <v>5219</v>
      </c>
    </row>
    <row r="2505" spans="1:4" x14ac:dyDescent="0.25">
      <c r="A2505" t="str">
        <f>T("   842389")</f>
        <v xml:space="preserve">   842389</v>
      </c>
      <c r="B2505" t="str">
        <f>T("   Appareils et instruments de pesage, portée &gt; 5000 kg")</f>
        <v xml:space="preserve">   Appareils et instruments de pesage, portée &gt; 5000 kg</v>
      </c>
      <c r="C2505">
        <v>20938400</v>
      </c>
      <c r="D2505">
        <v>22448</v>
      </c>
    </row>
    <row r="2506" spans="1:4" x14ac:dyDescent="0.25">
      <c r="A2506" t="str">
        <f>T("   842420")</f>
        <v xml:space="preserve">   842420</v>
      </c>
      <c r="B2506" t="s">
        <v>404</v>
      </c>
      <c r="C2506">
        <v>1065327</v>
      </c>
      <c r="D2506">
        <v>4451</v>
      </c>
    </row>
    <row r="2507" spans="1:4" x14ac:dyDescent="0.25">
      <c r="A2507" t="str">
        <f>T("   842489")</f>
        <v xml:space="preserve">   842489</v>
      </c>
      <c r="B2507" t="str">
        <f>T("   Machines et appareils mécaniques, même à main, à projeter, disperser ou pulvériser des matières liquides ou en poudre, n.d.a.")</f>
        <v xml:space="preserve">   Machines et appareils mécaniques, même à main, à projeter, disperser ou pulvériser des matières liquides ou en poudre, n.d.a.</v>
      </c>
      <c r="C2507">
        <v>417103</v>
      </c>
      <c r="D2507">
        <v>730</v>
      </c>
    </row>
    <row r="2508" spans="1:4" x14ac:dyDescent="0.25">
      <c r="A2508" t="str">
        <f>T("   842511")</f>
        <v xml:space="preserve">   842511</v>
      </c>
      <c r="B2508" t="str">
        <f>T("   Palans à moteur électrique")</f>
        <v xml:space="preserve">   Palans à moteur électrique</v>
      </c>
      <c r="C2508">
        <v>792985</v>
      </c>
      <c r="D2508">
        <v>1696</v>
      </c>
    </row>
    <row r="2509" spans="1:4" x14ac:dyDescent="0.25">
      <c r="A2509" t="str">
        <f>T("   842519")</f>
        <v xml:space="preserve">   842519</v>
      </c>
      <c r="B2509" t="str">
        <f>T("   Palans autres qu'à moteur électrique")</f>
        <v xml:space="preserve">   Palans autres qu'à moteur électrique</v>
      </c>
      <c r="C2509">
        <v>3290258</v>
      </c>
      <c r="D2509">
        <v>1000</v>
      </c>
    </row>
    <row r="2510" spans="1:4" x14ac:dyDescent="0.25">
      <c r="A2510" t="str">
        <f>T("   842539")</f>
        <v xml:space="preserve">   842539</v>
      </c>
      <c r="B2510" t="str">
        <f>T("   Treuils et cabestans, autres qu'à moteur électrique (sauf treuils pour puits de mines et sauf treuils spécialement conçus pour mines au fond)")</f>
        <v xml:space="preserve">   Treuils et cabestans, autres qu'à moteur électrique (sauf treuils pour puits de mines et sauf treuils spécialement conçus pour mines au fond)</v>
      </c>
      <c r="C2510">
        <v>1516184</v>
      </c>
      <c r="D2510">
        <v>685</v>
      </c>
    </row>
    <row r="2511" spans="1:4" x14ac:dyDescent="0.25">
      <c r="A2511" t="str">
        <f>T("   842549")</f>
        <v xml:space="preserve">   842549</v>
      </c>
      <c r="B2511" t="str">
        <f>T("   Crics et vérins, non hydrauliques")</f>
        <v xml:space="preserve">   Crics et vérins, non hydrauliques</v>
      </c>
      <c r="C2511">
        <v>26364</v>
      </c>
      <c r="D2511">
        <v>150</v>
      </c>
    </row>
    <row r="2512" spans="1:4" x14ac:dyDescent="0.25">
      <c r="A2512" t="str">
        <f>T("   842620")</f>
        <v xml:space="preserve">   842620</v>
      </c>
      <c r="B2512" t="str">
        <f>T("   Grues à tour")</f>
        <v xml:space="preserve">   Grues à tour</v>
      </c>
      <c r="C2512">
        <v>364848888</v>
      </c>
      <c r="D2512">
        <v>228830</v>
      </c>
    </row>
    <row r="2513" spans="1:4" x14ac:dyDescent="0.25">
      <c r="A2513" t="str">
        <f>T("   842720")</f>
        <v xml:space="preserve">   842720</v>
      </c>
      <c r="B2513" t="str">
        <f>T("   Chariots de manutention autopropulsés, autres qu'à moteur électrique, avec dispositif de levage")</f>
        <v xml:space="preserve">   Chariots de manutention autopropulsés, autres qu'à moteur électrique, avec dispositif de levage</v>
      </c>
      <c r="C2513">
        <v>4170345</v>
      </c>
      <c r="D2513">
        <v>4370</v>
      </c>
    </row>
    <row r="2514" spans="1:4" x14ac:dyDescent="0.25">
      <c r="A2514" t="str">
        <f>T("   842790")</f>
        <v xml:space="preserve">   842790</v>
      </c>
      <c r="B2514" t="str">
        <f>T("   Chariots de manutention munis d'un dispositif de levage mais non autopropulsés")</f>
        <v xml:space="preserve">   Chariots de manutention munis d'un dispositif de levage mais non autopropulsés</v>
      </c>
      <c r="C2514">
        <v>9048429</v>
      </c>
      <c r="D2514">
        <v>9269</v>
      </c>
    </row>
    <row r="2515" spans="1:4" x14ac:dyDescent="0.25">
      <c r="A2515" t="str">
        <f>T("   842810")</f>
        <v xml:space="preserve">   842810</v>
      </c>
      <c r="B2515" t="str">
        <f>T("   Ascenseurs et monte-charge")</f>
        <v xml:space="preserve">   Ascenseurs et monte-charge</v>
      </c>
      <c r="C2515">
        <v>150799</v>
      </c>
      <c r="D2515">
        <v>244</v>
      </c>
    </row>
    <row r="2516" spans="1:4" x14ac:dyDescent="0.25">
      <c r="A2516" t="str">
        <f>T("   842839")</f>
        <v xml:space="preserve">   842839</v>
      </c>
      <c r="B2516" t="str">
        <f>T("   Appareils élévateurs, transporteurs ou convoyeurs pour marchandises, à action continue (autres que conçus pour mines au fond ou pour autres travaux souterrains, autres qu'à benne, à bande ou à courroie et autres que pneumatiques)")</f>
        <v xml:space="preserve">   Appareils élévateurs, transporteurs ou convoyeurs pour marchandises, à action continue (autres que conçus pour mines au fond ou pour autres travaux souterrains, autres qu'à benne, à bande ou à courroie et autres que pneumatiques)</v>
      </c>
      <c r="C2516">
        <v>344603</v>
      </c>
      <c r="D2516">
        <v>48</v>
      </c>
    </row>
    <row r="2517" spans="1:4" x14ac:dyDescent="0.25">
      <c r="A2517" t="str">
        <f>T("   842920")</f>
        <v xml:space="preserve">   842920</v>
      </c>
      <c r="B2517" t="str">
        <f>T("   Niveleuses autopropulsées")</f>
        <v xml:space="preserve">   Niveleuses autopropulsées</v>
      </c>
      <c r="C2517">
        <v>11213421</v>
      </c>
      <c r="D2517">
        <v>8080</v>
      </c>
    </row>
    <row r="2518" spans="1:4" x14ac:dyDescent="0.25">
      <c r="A2518" t="str">
        <f>T("   842940")</f>
        <v xml:space="preserve">   842940</v>
      </c>
      <c r="B2518" t="str">
        <f>T("   Rouleaux compresseurs et autres compacteuses, autopropulsés")</f>
        <v xml:space="preserve">   Rouleaux compresseurs et autres compacteuses, autopropulsés</v>
      </c>
      <c r="C2518">
        <v>7708186</v>
      </c>
      <c r="D2518">
        <v>1700</v>
      </c>
    </row>
    <row r="2519" spans="1:4" x14ac:dyDescent="0.25">
      <c r="A2519" t="str">
        <f>T("   842951")</f>
        <v xml:space="preserve">   842951</v>
      </c>
      <c r="B2519" t="str">
        <f>T("   Chargeuses et chargeuses-pelleteuses, à chargement frontal, autopropulsées")</f>
        <v xml:space="preserve">   Chargeuses et chargeuses-pelleteuses, à chargement frontal, autopropulsées</v>
      </c>
      <c r="C2519">
        <v>197636587</v>
      </c>
      <c r="D2519">
        <v>86000</v>
      </c>
    </row>
    <row r="2520" spans="1:4" x14ac:dyDescent="0.25">
      <c r="A2520" t="str">
        <f>T("   842952")</f>
        <v xml:space="preserve">   842952</v>
      </c>
      <c r="B2520" t="str">
        <f>T("   Pelles mécaniques, autopropulsées, dont la superstructure peut effectuer une rotation de 360°")</f>
        <v xml:space="preserve">   Pelles mécaniques, autopropulsées, dont la superstructure peut effectuer une rotation de 360°</v>
      </c>
      <c r="C2520">
        <v>116250890</v>
      </c>
      <c r="D2520">
        <v>51500</v>
      </c>
    </row>
    <row r="2521" spans="1:4" x14ac:dyDescent="0.25">
      <c r="A2521" t="str">
        <f>T("   843049")</f>
        <v xml:space="preserve">   843049</v>
      </c>
      <c r="B2521" t="str">
        <f>T("   Machines de sondage ou de forage de la terre, des minéraux ou des minerais non autopropulsées et non hydrauliques (à l'excl. des machines à creuser les tunnels et autres machines à creuser les galeries, et sauf outillage pour emploi à la main)")</f>
        <v xml:space="preserve">   Machines de sondage ou de forage de la terre, des minéraux ou des minerais non autopropulsées et non hydrauliques (à l'excl. des machines à creuser les tunnels et autres machines à creuser les galeries, et sauf outillage pour emploi à la main)</v>
      </c>
      <c r="C2521">
        <v>266246948</v>
      </c>
      <c r="D2521">
        <v>97540</v>
      </c>
    </row>
    <row r="2522" spans="1:4" x14ac:dyDescent="0.25">
      <c r="A2522" t="str">
        <f>T("   843061")</f>
        <v xml:space="preserve">   843061</v>
      </c>
      <c r="B2522" t="str">
        <f>T("   Machines et appareils à tasser ou à compacter, non autopropulsés (sauf outillage pour emploi à la main)")</f>
        <v xml:space="preserve">   Machines et appareils à tasser ou à compacter, non autopropulsés (sauf outillage pour emploi à la main)</v>
      </c>
      <c r="C2522">
        <v>10634223</v>
      </c>
      <c r="D2522">
        <v>700</v>
      </c>
    </row>
    <row r="2523" spans="1:4" x14ac:dyDescent="0.25">
      <c r="A2523" t="str">
        <f>T("   843120")</f>
        <v xml:space="preserve">   843120</v>
      </c>
      <c r="B2523" t="str">
        <f>T("   Parties de chariots-gerbeurs et autres chariots de manutention munis d'un dispositif de levage, n.d.a.")</f>
        <v xml:space="preserve">   Parties de chariots-gerbeurs et autres chariots de manutention munis d'un dispositif de levage, n.d.a.</v>
      </c>
      <c r="C2523">
        <v>21092251</v>
      </c>
      <c r="D2523">
        <v>3826</v>
      </c>
    </row>
    <row r="2524" spans="1:4" x14ac:dyDescent="0.25">
      <c r="A2524" t="str">
        <f>T("   843139")</f>
        <v xml:space="preserve">   843139</v>
      </c>
      <c r="B2524" t="str">
        <f>T("   Parties de machines et appareils du n° 8428, n.d.a.")</f>
        <v xml:space="preserve">   Parties de machines et appareils du n° 8428, n.d.a.</v>
      </c>
      <c r="C2524">
        <v>4337863</v>
      </c>
      <c r="D2524">
        <v>9169</v>
      </c>
    </row>
    <row r="2525" spans="1:4" x14ac:dyDescent="0.25">
      <c r="A2525" t="str">
        <f>T("   843143")</f>
        <v xml:space="preserve">   843143</v>
      </c>
      <c r="B2525" t="str">
        <f>T("   Parties de machines de sondage ou de forage du n° 8430.41 ou 8430.49, n.d.a.")</f>
        <v xml:space="preserve">   Parties de machines de sondage ou de forage du n° 8430.41 ou 8430.49, n.d.a.</v>
      </c>
      <c r="C2525">
        <v>1050735</v>
      </c>
      <c r="D2525">
        <v>1080</v>
      </c>
    </row>
    <row r="2526" spans="1:4" x14ac:dyDescent="0.25">
      <c r="A2526" t="str">
        <f>T("   843149")</f>
        <v xml:space="preserve">   843149</v>
      </c>
      <c r="B2526" t="str">
        <f>T("   Parties de machines et appareils du n° 8426, 8429 ou 8430, n.d.a.")</f>
        <v xml:space="preserve">   Parties de machines et appareils du n° 8426, 8429 ou 8430, n.d.a.</v>
      </c>
      <c r="C2526">
        <v>204047780</v>
      </c>
      <c r="D2526">
        <v>264656</v>
      </c>
    </row>
    <row r="2527" spans="1:4" x14ac:dyDescent="0.25">
      <c r="A2527" t="str">
        <f>T("   843210")</f>
        <v xml:space="preserve">   843210</v>
      </c>
      <c r="B2527" t="str">
        <f>T("   Charrues pour l'agriculture, la sylviculture ou l'horticulture")</f>
        <v xml:space="preserve">   Charrues pour l'agriculture, la sylviculture ou l'horticulture</v>
      </c>
      <c r="C2527">
        <v>6840804</v>
      </c>
      <c r="D2527">
        <v>14850</v>
      </c>
    </row>
    <row r="2528" spans="1:4" x14ac:dyDescent="0.25">
      <c r="A2528" t="str">
        <f>T("   843280")</f>
        <v xml:space="preserve">   843280</v>
      </c>
      <c r="B2528" t="s">
        <v>409</v>
      </c>
      <c r="C2528">
        <v>639440368</v>
      </c>
      <c r="D2528">
        <v>106250</v>
      </c>
    </row>
    <row r="2529" spans="1:4" x14ac:dyDescent="0.25">
      <c r="A2529" t="str">
        <f>T("   843290")</f>
        <v xml:space="preserve">   843290</v>
      </c>
      <c r="B2529" t="str">
        <f>T("   Parties de machines, appareils et engins agricoles, sylvicoles ou horticoles pour la préparation ou le travail du sol ou pour la culture, ainsi que de rouleaux pour pelouses ou terrains de sport, n.d.a.")</f>
        <v xml:space="preserve">   Parties de machines, appareils et engins agricoles, sylvicoles ou horticoles pour la préparation ou le travail du sol ou pour la culture, ainsi que de rouleaux pour pelouses ou terrains de sport, n.d.a.</v>
      </c>
      <c r="C2529">
        <v>3383636</v>
      </c>
      <c r="D2529">
        <v>670</v>
      </c>
    </row>
    <row r="2530" spans="1:4" x14ac:dyDescent="0.25">
      <c r="A2530" t="str">
        <f>T("   843319")</f>
        <v xml:space="preserve">   843319</v>
      </c>
      <c r="B2530" t="str">
        <f>T("   Tondeuses à gazon à moteur, dont le dispositif de coupe tourne dans un plan vertical, ou à barre de coupe")</f>
        <v xml:space="preserve">   Tondeuses à gazon à moteur, dont le dispositif de coupe tourne dans un plan vertical, ou à barre de coupe</v>
      </c>
      <c r="C2530">
        <v>1472692</v>
      </c>
      <c r="D2530">
        <v>2763</v>
      </c>
    </row>
    <row r="2531" spans="1:4" x14ac:dyDescent="0.25">
      <c r="A2531" t="str">
        <f>T("   843351")</f>
        <v xml:space="preserve">   843351</v>
      </c>
      <c r="B2531" t="str">
        <f>T("   Moissonneuses-batteuses")</f>
        <v xml:space="preserve">   Moissonneuses-batteuses</v>
      </c>
      <c r="C2531">
        <v>14103796</v>
      </c>
      <c r="D2531">
        <v>9755</v>
      </c>
    </row>
    <row r="2532" spans="1:4" x14ac:dyDescent="0.25">
      <c r="A2532" t="str">
        <f>T("   843352")</f>
        <v xml:space="preserve">   843352</v>
      </c>
      <c r="B2532" t="str">
        <f>T("   Machines et appareils pour le battage des produits agricoles (sauf moissonneuses-batteuses)")</f>
        <v xml:space="preserve">   Machines et appareils pour le battage des produits agricoles (sauf moissonneuses-batteuses)</v>
      </c>
      <c r="C2532">
        <v>2557709</v>
      </c>
      <c r="D2532">
        <v>3800</v>
      </c>
    </row>
    <row r="2533" spans="1:4" x14ac:dyDescent="0.25">
      <c r="A2533" t="str">
        <f>T("   843490")</f>
        <v xml:space="preserve">   843490</v>
      </c>
      <c r="B2533" t="str">
        <f>T("   Parties de machines à traire et autres machines et appareils de laiterie, n.d.a.")</f>
        <v xml:space="preserve">   Parties de machines à traire et autres machines et appareils de laiterie, n.d.a.</v>
      </c>
      <c r="C2533">
        <v>568800373</v>
      </c>
      <c r="D2533">
        <v>87579</v>
      </c>
    </row>
    <row r="2534" spans="1:4" x14ac:dyDescent="0.25">
      <c r="A2534" t="str">
        <f>T("   843510")</f>
        <v xml:space="preserve">   843510</v>
      </c>
      <c r="B2534" t="s">
        <v>411</v>
      </c>
      <c r="C2534">
        <v>11093337</v>
      </c>
      <c r="D2534">
        <v>9099</v>
      </c>
    </row>
    <row r="2535" spans="1:4" x14ac:dyDescent="0.25">
      <c r="A2535" t="str">
        <f>T("   843621")</f>
        <v xml:space="preserve">   843621</v>
      </c>
      <c r="B2535" t="str">
        <f>T("   Couveuses et éleveuses pour l'aviculture")</f>
        <v xml:space="preserve">   Couveuses et éleveuses pour l'aviculture</v>
      </c>
      <c r="C2535">
        <v>41114</v>
      </c>
      <c r="D2535">
        <v>100</v>
      </c>
    </row>
    <row r="2536" spans="1:4" x14ac:dyDescent="0.25">
      <c r="A2536" t="str">
        <f>T("   843629")</f>
        <v xml:space="preserve">   843629</v>
      </c>
      <c r="B2536" t="str">
        <f>T("   Machines et appareils pour l'aviculture (sauf machines à trier les oeufs, machines à plumer du n° 8438 et sauf couveuses et éleveuses)")</f>
        <v xml:space="preserve">   Machines et appareils pour l'aviculture (sauf machines à trier les oeufs, machines à plumer du n° 8438 et sauf couveuses et éleveuses)</v>
      </c>
      <c r="C2536">
        <v>260034</v>
      </c>
      <c r="D2536">
        <v>368</v>
      </c>
    </row>
    <row r="2537" spans="1:4" x14ac:dyDescent="0.25">
      <c r="A2537" t="str">
        <f>T("   843680")</f>
        <v xml:space="preserve">   843680</v>
      </c>
      <c r="B2537" t="str">
        <f>T("   Machines et appareils pour l'agriculture, la sylviculture, l'horticulture ou l'apiculture, n.d.a.")</f>
        <v xml:space="preserve">   Machines et appareils pour l'agriculture, la sylviculture, l'horticulture ou l'apiculture, n.d.a.</v>
      </c>
      <c r="C2537">
        <v>11569255</v>
      </c>
      <c r="D2537">
        <v>12298</v>
      </c>
    </row>
    <row r="2538" spans="1:4" x14ac:dyDescent="0.25">
      <c r="A2538" t="str">
        <f>T("   843710")</f>
        <v xml:space="preserve">   843710</v>
      </c>
      <c r="B2538" t="str">
        <f>T("   Machines pour le nettoyage, le triage ou le criblage des grains ou des légumes secs")</f>
        <v xml:space="preserve">   Machines pour le nettoyage, le triage ou le criblage des grains ou des légumes secs</v>
      </c>
      <c r="C2538">
        <v>2865167</v>
      </c>
      <c r="D2538">
        <v>1040</v>
      </c>
    </row>
    <row r="2539" spans="1:4" x14ac:dyDescent="0.25">
      <c r="A2539" t="str">
        <f>T("   843810")</f>
        <v xml:space="preserve">   843810</v>
      </c>
      <c r="B2539" t="s">
        <v>413</v>
      </c>
      <c r="C2539">
        <v>365490326</v>
      </c>
      <c r="D2539">
        <v>177039</v>
      </c>
    </row>
    <row r="2540" spans="1:4" x14ac:dyDescent="0.25">
      <c r="A2540" t="str">
        <f>T("   843840")</f>
        <v xml:space="preserve">   843840</v>
      </c>
      <c r="B2540" t="str">
        <f>T("   Machines et appareils pour la brasserie (sauf centrifugeuses et sauf appareils de filtrage, appareils thermiques et appareils de refroidissement)")</f>
        <v xml:space="preserve">   Machines et appareils pour la brasserie (sauf centrifugeuses et sauf appareils de filtrage, appareils thermiques et appareils de refroidissement)</v>
      </c>
      <c r="C2540">
        <v>7117081</v>
      </c>
      <c r="D2540">
        <v>2551</v>
      </c>
    </row>
    <row r="2541" spans="1:4" x14ac:dyDescent="0.25">
      <c r="A2541" t="str">
        <f>T("   843860")</f>
        <v xml:space="preserve">   843860</v>
      </c>
      <c r="B2541" t="s">
        <v>414</v>
      </c>
      <c r="C2541">
        <v>179050</v>
      </c>
      <c r="D2541">
        <v>500</v>
      </c>
    </row>
    <row r="2542" spans="1:4" x14ac:dyDescent="0.25">
      <c r="A2542" t="str">
        <f>T("   843890")</f>
        <v xml:space="preserve">   843890</v>
      </c>
      <c r="B2542" t="str">
        <f>T("   Parties des machines et appareils pour le traitement, la préparation ou la fabrication industriels d'aliments ou de boissons, n.d.a.")</f>
        <v xml:space="preserve">   Parties des machines et appareils pour le traitement, la préparation ou la fabrication industriels d'aliments ou de boissons, n.d.a.</v>
      </c>
      <c r="C2542">
        <v>148388496</v>
      </c>
      <c r="D2542">
        <v>53355</v>
      </c>
    </row>
    <row r="2543" spans="1:4" x14ac:dyDescent="0.25">
      <c r="A2543" t="str">
        <f>T("   843920")</f>
        <v xml:space="preserve">   843920</v>
      </c>
      <c r="B2543" t="str">
        <f>T("   Machines et appareils pour la fabrication du papier ou du carton (autres que les installations de séchage et autres appareils thermiques, calandres et machines et appareils pour la fabrication de la pâte à papier)")</f>
        <v xml:space="preserve">   Machines et appareils pour la fabrication du papier ou du carton (autres que les installations de séchage et autres appareils thermiques, calandres et machines et appareils pour la fabrication de la pâte à papier)</v>
      </c>
      <c r="C2543">
        <v>204198</v>
      </c>
      <c r="D2543">
        <v>315</v>
      </c>
    </row>
    <row r="2544" spans="1:4" x14ac:dyDescent="0.25">
      <c r="A2544" t="str">
        <f>T("   844180")</f>
        <v xml:space="preserve">   844180</v>
      </c>
      <c r="B2544" t="str">
        <f>T("   Machines et appareils pour le travail de la pâte à papier, du papier ou du carton, n.d.a.")</f>
        <v xml:space="preserve">   Machines et appareils pour le travail de la pâte à papier, du papier ou du carton, n.d.a.</v>
      </c>
      <c r="C2544">
        <v>43186950</v>
      </c>
      <c r="D2544">
        <v>7000</v>
      </c>
    </row>
    <row r="2545" spans="1:4" x14ac:dyDescent="0.25">
      <c r="A2545" t="str">
        <f>T("   844190")</f>
        <v xml:space="preserve">   844190</v>
      </c>
      <c r="B2545" t="str">
        <f>T("   Parties de machines et appareils pour le travail de la pâte à papier, du papier ou du carton, n.d.a.")</f>
        <v xml:space="preserve">   Parties de machines et appareils pour le travail de la pâte à papier, du papier ou du carton, n.d.a.</v>
      </c>
      <c r="C2545">
        <v>5636114</v>
      </c>
      <c r="D2545">
        <v>228</v>
      </c>
    </row>
    <row r="2546" spans="1:4" x14ac:dyDescent="0.25">
      <c r="A2546" t="str">
        <f>T("   844210")</f>
        <v xml:space="preserve">   844210</v>
      </c>
      <c r="B2546" t="str">
        <f>T("   Machines à composer par procédé photographique (à l'excl. également des machines automatiques universelles de traitement informatique de la photocomposition)")</f>
        <v xml:space="preserve">   Machines à composer par procédé photographique (à l'excl. également des machines automatiques universelles de traitement informatique de la photocomposition)</v>
      </c>
      <c r="C2546">
        <v>3096959</v>
      </c>
      <c r="D2546">
        <v>2500</v>
      </c>
    </row>
    <row r="2547" spans="1:4" x14ac:dyDescent="0.25">
      <c r="A2547" t="str">
        <f>T("   844351")</f>
        <v xml:space="preserve">   844351</v>
      </c>
      <c r="B2547" t="str">
        <f>T("   Machines à imprimer à jet d'encre")</f>
        <v xml:space="preserve">   Machines à imprimer à jet d'encre</v>
      </c>
      <c r="C2547">
        <v>21959</v>
      </c>
      <c r="D2547">
        <v>22</v>
      </c>
    </row>
    <row r="2548" spans="1:4" x14ac:dyDescent="0.25">
      <c r="A2548" t="str">
        <f>T("   844359")</f>
        <v xml:space="preserve">   844359</v>
      </c>
      <c r="B2548" t="s">
        <v>418</v>
      </c>
      <c r="C2548">
        <v>3668546</v>
      </c>
      <c r="D2548">
        <v>705</v>
      </c>
    </row>
    <row r="2549" spans="1:4" x14ac:dyDescent="0.25">
      <c r="A2549" t="str">
        <f>T("   844390")</f>
        <v xml:space="preserve">   844390</v>
      </c>
      <c r="B2549" t="str">
        <f>T("   Parties de machines et appareils à imprimer et de leur machines et appareils auxiliaires, n.d.a.")</f>
        <v xml:space="preserve">   Parties de machines et appareils à imprimer et de leur machines et appareils auxiliaires, n.d.a.</v>
      </c>
      <c r="C2549">
        <v>4879895</v>
      </c>
      <c r="D2549">
        <v>6445</v>
      </c>
    </row>
    <row r="2550" spans="1:4" x14ac:dyDescent="0.25">
      <c r="A2550" t="str">
        <f>T("   844820")</f>
        <v xml:space="preserve">   844820</v>
      </c>
      <c r="B2550" t="str">
        <f>T("   Parties et accessoires des machines pour le filage -extrusion-, l'étirage, la texturation ou le tranchage des matières textiles synthétiques ou artificielles ou de leurs machines et appareils auxiliaires, n.d.a.")</f>
        <v xml:space="preserve">   Parties et accessoires des machines pour le filage -extrusion-, l'étirage, la texturation ou le tranchage des matières textiles synthétiques ou artificielles ou de leurs machines et appareils auxiliaires, n.d.a.</v>
      </c>
      <c r="C2550">
        <v>93456276</v>
      </c>
      <c r="D2550">
        <v>68033</v>
      </c>
    </row>
    <row r="2551" spans="1:4" x14ac:dyDescent="0.25">
      <c r="A2551" t="str">
        <f>T("   844839")</f>
        <v xml:space="preserve">   844839</v>
      </c>
      <c r="B2551" t="str">
        <f>T("   Parties et accessoires des machines du n° 8445, n.d.a.")</f>
        <v xml:space="preserve">   Parties et accessoires des machines du n° 8445, n.d.a.</v>
      </c>
      <c r="C2551">
        <v>5524949</v>
      </c>
      <c r="D2551">
        <v>1695</v>
      </c>
    </row>
    <row r="2552" spans="1:4" x14ac:dyDescent="0.25">
      <c r="A2552" t="str">
        <f>T("   844841")</f>
        <v xml:space="preserve">   844841</v>
      </c>
      <c r="B2552" t="str">
        <f>T("   Navettes pour métiers à tisser")</f>
        <v xml:space="preserve">   Navettes pour métiers à tisser</v>
      </c>
      <c r="C2552">
        <v>5574836</v>
      </c>
      <c r="D2552">
        <v>3130</v>
      </c>
    </row>
    <row r="2553" spans="1:4" x14ac:dyDescent="0.25">
      <c r="A2553" t="str">
        <f>T("   845011")</f>
        <v xml:space="preserve">   845011</v>
      </c>
      <c r="B2553" t="str">
        <f>T("   Machines à laver le linge entièrement automatiques, d'une capacité unitaire exprimée en poids de linge sec &lt;= 6 kg")</f>
        <v xml:space="preserve">   Machines à laver le linge entièrement automatiques, d'une capacité unitaire exprimée en poids de linge sec &lt;= 6 kg</v>
      </c>
      <c r="C2553">
        <v>14858512</v>
      </c>
      <c r="D2553">
        <v>33591</v>
      </c>
    </row>
    <row r="2554" spans="1:4" x14ac:dyDescent="0.25">
      <c r="A2554" t="str">
        <f>T("   845019")</f>
        <v xml:space="preserve">   845019</v>
      </c>
      <c r="B2554" t="str">
        <f>T("   Machines à laver le linge d'une capacité unitaire exprimée en poids de linge sec &lt;= 6 kg (à l'excl. des machines entièrement automatiques et des machines à laver le linge avec essoreuse centrifuge incorporée)")</f>
        <v xml:space="preserve">   Machines à laver le linge d'une capacité unitaire exprimée en poids de linge sec &lt;= 6 kg (à l'excl. des machines entièrement automatiques et des machines à laver le linge avec essoreuse centrifuge incorporée)</v>
      </c>
      <c r="C2554">
        <v>1899642</v>
      </c>
      <c r="D2554">
        <v>5620</v>
      </c>
    </row>
    <row r="2555" spans="1:4" x14ac:dyDescent="0.25">
      <c r="A2555" t="str">
        <f>T("   845090")</f>
        <v xml:space="preserve">   845090</v>
      </c>
      <c r="B2555" t="str">
        <f>T("   Parties de machines à laver le linge, n.d.a.")</f>
        <v xml:space="preserve">   Parties de machines à laver le linge, n.d.a.</v>
      </c>
      <c r="C2555">
        <v>2636708</v>
      </c>
      <c r="D2555">
        <v>19289</v>
      </c>
    </row>
    <row r="2556" spans="1:4" x14ac:dyDescent="0.25">
      <c r="A2556" t="str">
        <f>T("   845140")</f>
        <v xml:space="preserve">   845140</v>
      </c>
      <c r="B2556" t="str">
        <f>T("   Machines et appareils pour le lavage, le blanchiment ou la teinture de fils, tissus ou autres ouvrages en matières textiles (sauf machines à laver le linge)")</f>
        <v xml:space="preserve">   Machines et appareils pour le lavage, le blanchiment ou la teinture de fils, tissus ou autres ouvrages en matières textiles (sauf machines à laver le linge)</v>
      </c>
      <c r="C2556">
        <v>48399</v>
      </c>
      <c r="D2556">
        <v>15</v>
      </c>
    </row>
    <row r="2557" spans="1:4" x14ac:dyDescent="0.25">
      <c r="A2557" t="str">
        <f>T("   845210")</f>
        <v xml:space="preserve">   845210</v>
      </c>
      <c r="B2557" t="str">
        <f>T("   Machines à coudre de type ménager")</f>
        <v xml:space="preserve">   Machines à coudre de type ménager</v>
      </c>
      <c r="C2557">
        <v>238220083</v>
      </c>
      <c r="D2557">
        <v>394226</v>
      </c>
    </row>
    <row r="2558" spans="1:4" x14ac:dyDescent="0.25">
      <c r="A2558" t="str">
        <f>T("   845230")</f>
        <v xml:space="preserve">   845230</v>
      </c>
      <c r="B2558" t="str">
        <f>T("   Aiguilles pour machines à coudre")</f>
        <v xml:space="preserve">   Aiguilles pour machines à coudre</v>
      </c>
      <c r="C2558">
        <v>6383083</v>
      </c>
      <c r="D2558">
        <v>977</v>
      </c>
    </row>
    <row r="2559" spans="1:4" x14ac:dyDescent="0.25">
      <c r="A2559" t="str">
        <f>T("   845380")</f>
        <v xml:space="preserve">   845380</v>
      </c>
      <c r="B2559" t="str">
        <f>T("   Machines et appareils pour la fabrication ou la réparation des ouvrages en cuir ou en peau (autres que les chaussures et autres que les machines à coudre)")</f>
        <v xml:space="preserve">   Machines et appareils pour la fabrication ou la réparation des ouvrages en cuir ou en peau (autres que les chaussures et autres que les machines à coudre)</v>
      </c>
      <c r="C2559">
        <v>413679</v>
      </c>
      <c r="D2559">
        <v>200</v>
      </c>
    </row>
    <row r="2560" spans="1:4" x14ac:dyDescent="0.25">
      <c r="A2560" t="str">
        <f>T("   845590")</f>
        <v xml:space="preserve">   845590</v>
      </c>
      <c r="B2560" t="str">
        <f>T("   Parties de laminoirs à métaux, n.d.a.")</f>
        <v xml:space="preserve">   Parties de laminoirs à métaux, n.d.a.</v>
      </c>
      <c r="C2560">
        <v>10255693</v>
      </c>
      <c r="D2560">
        <v>13000</v>
      </c>
    </row>
    <row r="2561" spans="1:4" x14ac:dyDescent="0.25">
      <c r="A2561" t="str">
        <f>T("   846150")</f>
        <v xml:space="preserve">   846150</v>
      </c>
      <c r="B2561" t="str">
        <f>T("   Machines à scier ou à tronçonner, pour le travail des métaux (autres que l'outillage à main)")</f>
        <v xml:space="preserve">   Machines à scier ou à tronçonner, pour le travail des métaux (autres que l'outillage à main)</v>
      </c>
      <c r="C2561">
        <v>9905623</v>
      </c>
      <c r="D2561">
        <v>17700</v>
      </c>
    </row>
    <row r="2562" spans="1:4" x14ac:dyDescent="0.25">
      <c r="A2562" t="str">
        <f>T("   846190")</f>
        <v xml:space="preserve">   846190</v>
      </c>
      <c r="B2562" t="str">
        <f>T("   Machines à raboter et autres machines-outils travaillant par enlèvement de métal, n.d.a.")</f>
        <v xml:space="preserve">   Machines à raboter et autres machines-outils travaillant par enlèvement de métal, n.d.a.</v>
      </c>
      <c r="C2562">
        <v>14855536</v>
      </c>
      <c r="D2562">
        <v>26180</v>
      </c>
    </row>
    <row r="2563" spans="1:4" x14ac:dyDescent="0.25">
      <c r="A2563" t="str">
        <f>T("   846210")</f>
        <v xml:space="preserve">   846210</v>
      </c>
      <c r="B2563" t="str">
        <f>T("   Machines, y.c. -les presses-, à forger ou à estamper, moutons, marteaux-pilons et martinets, pour le travail des métaux")</f>
        <v xml:space="preserve">   Machines, y.c. -les presses-, à forger ou à estamper, moutons, marteaux-pilons et martinets, pour le travail des métaux</v>
      </c>
      <c r="C2563">
        <v>15543629</v>
      </c>
      <c r="D2563">
        <v>12600</v>
      </c>
    </row>
    <row r="2564" spans="1:4" x14ac:dyDescent="0.25">
      <c r="A2564" t="str">
        <f>T("   846229")</f>
        <v xml:space="preserve">   846229</v>
      </c>
      <c r="B2564" t="str">
        <f>T("   Machines, y.c. -les presses-, à rouler, cintrer, plier, dresser ou planer, pour le travail des métaux (autres qu'à commande numérique)")</f>
        <v xml:space="preserve">   Machines, y.c. -les presses-, à rouler, cintrer, plier, dresser ou planer, pour le travail des métaux (autres qu'à commande numérique)</v>
      </c>
      <c r="C2564">
        <v>846053</v>
      </c>
      <c r="D2564">
        <v>200</v>
      </c>
    </row>
    <row r="2565" spans="1:4" x14ac:dyDescent="0.25">
      <c r="A2565" t="str">
        <f>T("   846490")</f>
        <v xml:space="preserve">   846490</v>
      </c>
      <c r="B2565" t="s">
        <v>427</v>
      </c>
      <c r="C2565">
        <v>147640</v>
      </c>
      <c r="D2565">
        <v>176</v>
      </c>
    </row>
    <row r="2566" spans="1:4" x14ac:dyDescent="0.25">
      <c r="A2566" t="str">
        <f>T("   846591")</f>
        <v xml:space="preserve">   846591</v>
      </c>
      <c r="B2566" t="str">
        <f>T("   Machines à scier, pour le travail du bois, des matières plastiques dures, etc. (autres que pour emploi à la main)")</f>
        <v xml:space="preserve">   Machines à scier, pour le travail du bois, des matières plastiques dures, etc. (autres que pour emploi à la main)</v>
      </c>
      <c r="C2566">
        <v>18715379</v>
      </c>
      <c r="D2566">
        <v>29600</v>
      </c>
    </row>
    <row r="2567" spans="1:4" x14ac:dyDescent="0.25">
      <c r="A2567" t="str">
        <f>T("   846691")</f>
        <v xml:space="preserve">   846691</v>
      </c>
      <c r="B2567" t="str">
        <f>T("   Parties et accessoires pour machines-outils pour le travail de la pierre, des produits céramiques, du béton, etc., y.c. le travail à froid du verre, n.d.a.")</f>
        <v xml:space="preserve">   Parties et accessoires pour machines-outils pour le travail de la pierre, des produits céramiques, du béton, etc., y.c. le travail à froid du verre, n.d.a.</v>
      </c>
      <c r="C2567">
        <v>22352493</v>
      </c>
      <c r="D2567">
        <v>5640</v>
      </c>
    </row>
    <row r="2568" spans="1:4" x14ac:dyDescent="0.25">
      <c r="A2568" t="str">
        <f>T("   846729")</f>
        <v xml:space="preserve">   846729</v>
      </c>
      <c r="B2568" t="str">
        <f>T("   Outils électromécaniques à moteur électrique incorporé, pour emploi à la main (autres que scies et perceuses)")</f>
        <v xml:space="preserve">   Outils électromécaniques à moteur électrique incorporé, pour emploi à la main (autres que scies et perceuses)</v>
      </c>
      <c r="C2568">
        <v>12466417</v>
      </c>
      <c r="D2568">
        <v>16879</v>
      </c>
    </row>
    <row r="2569" spans="1:4" x14ac:dyDescent="0.25">
      <c r="A2569" t="str">
        <f>T("   846789")</f>
        <v xml:space="preserve">   846789</v>
      </c>
      <c r="B2569" t="str">
        <f>T("   Outils pour emploi à la main, hydrauliques ou à moteur non électrique incorporé (sauf tronçonneuses à chaîne et outils pneumatiques)")</f>
        <v xml:space="preserve">   Outils pour emploi à la main, hydrauliques ou à moteur non électrique incorporé (sauf tronçonneuses à chaîne et outils pneumatiques)</v>
      </c>
      <c r="C2569">
        <v>694056</v>
      </c>
      <c r="D2569">
        <v>1327</v>
      </c>
    </row>
    <row r="2570" spans="1:4" x14ac:dyDescent="0.25">
      <c r="A2570" t="str">
        <f>T("   846799")</f>
        <v xml:space="preserve">   846799</v>
      </c>
      <c r="B2570" t="str">
        <f>T("   Parties d'outils pour emploi à la main, hydrauliques ou à moteur électrique ou non électrique incorporé, n.d.a.")</f>
        <v xml:space="preserve">   Parties d'outils pour emploi à la main, hydrauliques ou à moteur électrique ou non électrique incorporé, n.d.a.</v>
      </c>
      <c r="C2570">
        <v>50796877</v>
      </c>
      <c r="D2570">
        <v>31460</v>
      </c>
    </row>
    <row r="2571" spans="1:4" x14ac:dyDescent="0.25">
      <c r="A2571" t="str">
        <f>T("   846880")</f>
        <v xml:space="preserve">   846880</v>
      </c>
      <c r="B2571" t="str">
        <f>T("   Machines et appareils pour le brasage ou le soudage (autres qu'aux gaz et à l'excl. des machines ou appareils pour le brasage ou le soudage électriques du n° 8515)")</f>
        <v xml:space="preserve">   Machines et appareils pour le brasage ou le soudage (autres qu'aux gaz et à l'excl. des machines ou appareils pour le brasage ou le soudage électriques du n° 8515)</v>
      </c>
      <c r="C2571">
        <v>192258</v>
      </c>
      <c r="D2571">
        <v>122</v>
      </c>
    </row>
    <row r="2572" spans="1:4" x14ac:dyDescent="0.25">
      <c r="A2572" t="str">
        <f>T("   846912")</f>
        <v xml:space="preserve">   846912</v>
      </c>
      <c r="B2572" t="s">
        <v>431</v>
      </c>
      <c r="C2572">
        <v>100177</v>
      </c>
      <c r="D2572">
        <v>141</v>
      </c>
    </row>
    <row r="2573" spans="1:4" x14ac:dyDescent="0.25">
      <c r="A2573" t="str">
        <f>T("   847010")</f>
        <v xml:space="preserve">   847010</v>
      </c>
      <c r="B2573" t="s">
        <v>432</v>
      </c>
      <c r="C2573">
        <v>246376</v>
      </c>
      <c r="D2573">
        <v>868</v>
      </c>
    </row>
    <row r="2574" spans="1:4" x14ac:dyDescent="0.25">
      <c r="A2574" t="str">
        <f>T("   847029")</f>
        <v xml:space="preserve">   847029</v>
      </c>
      <c r="B2574" t="str">
        <f>T("   Machines à calculer électroniques sans organe imprimant, raccordées au réseau (à l'excl. des machines automatiques de traitement de l'information du n° 8471)")</f>
        <v xml:space="preserve">   Machines à calculer électroniques sans organe imprimant, raccordées au réseau (à l'excl. des machines automatiques de traitement de l'information du n° 8471)</v>
      </c>
      <c r="C2574">
        <v>659896</v>
      </c>
      <c r="D2574">
        <v>9200</v>
      </c>
    </row>
    <row r="2575" spans="1:4" x14ac:dyDescent="0.25">
      <c r="A2575" t="str">
        <f>T("   847030")</f>
        <v xml:space="preserve">   847030</v>
      </c>
      <c r="B2575" t="str">
        <f>T("   Machines à calculer autres qu'électroniques")</f>
        <v xml:space="preserve">   Machines à calculer autres qu'électroniques</v>
      </c>
      <c r="C2575">
        <v>818307</v>
      </c>
      <c r="D2575">
        <v>1918</v>
      </c>
    </row>
    <row r="2576" spans="1:4" x14ac:dyDescent="0.25">
      <c r="A2576" t="str">
        <f>T("   847040")</f>
        <v xml:space="preserve">   847040</v>
      </c>
      <c r="B2576" t="str">
        <f>T("   Machines comptables comportant un dispositif de calcul (à l'excl. des machines automatiques de traitement de l'information du n° 8471)")</f>
        <v xml:space="preserve">   Machines comptables comportant un dispositif de calcul (à l'excl. des machines automatiques de traitement de l'information du n° 8471)</v>
      </c>
      <c r="C2576">
        <v>590080</v>
      </c>
      <c r="D2576">
        <v>60</v>
      </c>
    </row>
    <row r="2577" spans="1:4" x14ac:dyDescent="0.25">
      <c r="A2577" t="str">
        <f>T("   847050")</f>
        <v xml:space="preserve">   847050</v>
      </c>
      <c r="B2577" t="str">
        <f>T("   Caisses enregistreuses comportant un dispositif de calcul")</f>
        <v xml:space="preserve">   Caisses enregistreuses comportant un dispositif de calcul</v>
      </c>
      <c r="C2577">
        <v>4448065</v>
      </c>
      <c r="D2577">
        <v>681</v>
      </c>
    </row>
    <row r="2578" spans="1:4" x14ac:dyDescent="0.25">
      <c r="A2578" t="str">
        <f>T("   847090")</f>
        <v xml:space="preserve">   847090</v>
      </c>
      <c r="B2578" t="str">
        <f>T("   Machines à affranchir, à établir les tickets et simil., avec dispositif de calcul (à l'excl. des machines comptables, des caisses enregistreuses et des distributeurs automatiques)")</f>
        <v xml:space="preserve">   Machines à affranchir, à établir les tickets et simil., avec dispositif de calcul (à l'excl. des machines comptables, des caisses enregistreuses et des distributeurs automatiques)</v>
      </c>
      <c r="C2578">
        <v>356113</v>
      </c>
      <c r="D2578">
        <v>323</v>
      </c>
    </row>
    <row r="2579" spans="1:4" x14ac:dyDescent="0.25">
      <c r="A2579" t="str">
        <f>T("   847110")</f>
        <v xml:space="preserve">   847110</v>
      </c>
      <c r="B2579" t="str">
        <f>T("   Machines automatiques de traitement de l'information, analogiques ou hybrides")</f>
        <v xml:space="preserve">   Machines automatiques de traitement de l'information, analogiques ou hybrides</v>
      </c>
      <c r="C2579">
        <v>5610118</v>
      </c>
      <c r="D2579">
        <v>10391</v>
      </c>
    </row>
    <row r="2580" spans="1:4" x14ac:dyDescent="0.25">
      <c r="A2580" t="str">
        <f>T("   847130")</f>
        <v xml:space="preserve">   847130</v>
      </c>
      <c r="B2580" t="str">
        <f>T("   Machines automatiques de traitement de l'information numériques, portatives, d'un poids &lt;= 10 kg, comportant au moins une unité centrale de traitement, un clavier et un écran (à l'excl. des unités périphériques)")</f>
        <v xml:space="preserve">   Machines automatiques de traitement de l'information numériques, portatives, d'un poids &lt;= 10 kg, comportant au moins une unité centrale de traitement, un clavier et un écran (à l'excl. des unités périphériques)</v>
      </c>
      <c r="C2580">
        <v>21362834</v>
      </c>
      <c r="D2580">
        <v>1677</v>
      </c>
    </row>
    <row r="2581" spans="1:4" x14ac:dyDescent="0.25">
      <c r="A2581" t="str">
        <f>T("   847141")</f>
        <v xml:space="preserve">   847141</v>
      </c>
      <c r="B2581" t="s">
        <v>433</v>
      </c>
      <c r="C2581">
        <v>337511</v>
      </c>
      <c r="D2581">
        <v>2500</v>
      </c>
    </row>
    <row r="2582" spans="1:4" x14ac:dyDescent="0.25">
      <c r="A2582" t="str">
        <f>T("   847149")</f>
        <v xml:space="preserve">   847149</v>
      </c>
      <c r="B2582" t="s">
        <v>434</v>
      </c>
      <c r="C2582">
        <v>51937888</v>
      </c>
      <c r="D2582">
        <v>27575</v>
      </c>
    </row>
    <row r="2583" spans="1:4" x14ac:dyDescent="0.25">
      <c r="A2583" t="str">
        <f>T("   847150")</f>
        <v xml:space="preserve">   847150</v>
      </c>
      <c r="B2583" t="s">
        <v>435</v>
      </c>
      <c r="C2583">
        <v>7717535</v>
      </c>
      <c r="D2583">
        <v>34</v>
      </c>
    </row>
    <row r="2584" spans="1:4" x14ac:dyDescent="0.25">
      <c r="A2584" t="str">
        <f>T("   847160")</f>
        <v xml:space="preserve">   847160</v>
      </c>
      <c r="B2584" t="str">
        <f>T("   UNITÉS D'ENTRÉE OU DE SORTIE POUR MACHINES AUTOMATIQUES DE TRAITEMENT DE L'INFORMATION, POUVANT COMPORTER, SOUS LA MÊME ENVELOPPE, DES UNITÉS DE MÉMOIRE")</f>
        <v xml:space="preserve">   UNITÉS D'ENTRÉE OU DE SORTIE POUR MACHINES AUTOMATIQUES DE TRAITEMENT DE L'INFORMATION, POUVANT COMPORTER, SOUS LA MÊME ENVELOPPE, DES UNITÉS DE MÉMOIRE</v>
      </c>
      <c r="C2584">
        <v>3515666</v>
      </c>
      <c r="D2584">
        <v>11927</v>
      </c>
    </row>
    <row r="2585" spans="1:4" x14ac:dyDescent="0.25">
      <c r="A2585" t="str">
        <f>T("   847180")</f>
        <v xml:space="preserve">   847180</v>
      </c>
      <c r="B2585" t="str">
        <f>T("   Unités de machines automatiques de traitement de l'information, numériques (à l'excl. des unités de traitement, unités d'entrée ou de sortie et unités de mémoire)")</f>
        <v xml:space="preserve">   Unités de machines automatiques de traitement de l'information, numériques (à l'excl. des unités de traitement, unités d'entrée ou de sortie et unités de mémoire)</v>
      </c>
      <c r="C2585">
        <v>114181442</v>
      </c>
      <c r="D2585">
        <v>43499</v>
      </c>
    </row>
    <row r="2586" spans="1:4" x14ac:dyDescent="0.25">
      <c r="A2586" t="str">
        <f>T("   847190")</f>
        <v xml:space="preserve">   847190</v>
      </c>
      <c r="B2586"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2586">
        <v>86946613</v>
      </c>
      <c r="D2586">
        <v>38218</v>
      </c>
    </row>
    <row r="2587" spans="1:4" x14ac:dyDescent="0.25">
      <c r="A2587" t="str">
        <f>T("   847290")</f>
        <v xml:space="preserve">   847290</v>
      </c>
      <c r="B2587" t="str">
        <f>T("   Machines et appareils de bureau, n.d.a.")</f>
        <v xml:space="preserve">   Machines et appareils de bureau, n.d.a.</v>
      </c>
      <c r="C2587">
        <v>1422748</v>
      </c>
      <c r="D2587">
        <v>1889</v>
      </c>
    </row>
    <row r="2588" spans="1:4" x14ac:dyDescent="0.25">
      <c r="A2588" t="str">
        <f>T("   847330")</f>
        <v xml:space="preserve">   847330</v>
      </c>
      <c r="B2588" t="str">
        <f>T("   Parties et accessoires pour machines automatiques de traitement de l'information ou pour autres machines du n° 8471, n.d.a.")</f>
        <v xml:space="preserve">   Parties et accessoires pour machines automatiques de traitement de l'information ou pour autres machines du n° 8471, n.d.a.</v>
      </c>
      <c r="C2588">
        <v>31262643</v>
      </c>
      <c r="D2588">
        <v>66525</v>
      </c>
    </row>
    <row r="2589" spans="1:4" x14ac:dyDescent="0.25">
      <c r="A2589" t="str">
        <f>T("   847340")</f>
        <v xml:space="preserve">   847340</v>
      </c>
      <c r="B2589" t="str">
        <f>T("   Parties et accessoires pour autres machines et appareils de bureau du n° 8472, n.d.a.")</f>
        <v xml:space="preserve">   Parties et accessoires pour autres machines et appareils de bureau du n° 8472, n.d.a.</v>
      </c>
      <c r="C2589">
        <v>4250000</v>
      </c>
      <c r="D2589">
        <v>7820</v>
      </c>
    </row>
    <row r="2590" spans="1:4" x14ac:dyDescent="0.25">
      <c r="A2590" t="str">
        <f>T("   847420")</f>
        <v xml:space="preserve">   847420</v>
      </c>
      <c r="B2590" t="str">
        <f>T("   Machines et appareils à concasser, broyer ou pulvériser les matières minérales solides")</f>
        <v xml:space="preserve">   Machines et appareils à concasser, broyer ou pulvériser les matières minérales solides</v>
      </c>
      <c r="C2590">
        <v>150235175</v>
      </c>
      <c r="D2590">
        <v>99060</v>
      </c>
    </row>
    <row r="2591" spans="1:4" x14ac:dyDescent="0.25">
      <c r="A2591" t="str">
        <f>T("   847431")</f>
        <v xml:space="preserve">   847431</v>
      </c>
      <c r="B2591" t="str">
        <f>T("   Bétonnières et appareils à gâcher le ciment (sauf montés sur wagons de chemins de fer ou sur châssis de véhicules automobiles)")</f>
        <v xml:space="preserve">   Bétonnières et appareils à gâcher le ciment (sauf montés sur wagons de chemins de fer ou sur châssis de véhicules automobiles)</v>
      </c>
      <c r="C2591">
        <v>17818050</v>
      </c>
      <c r="D2591">
        <v>26040</v>
      </c>
    </row>
    <row r="2592" spans="1:4" x14ac:dyDescent="0.25">
      <c r="A2592" t="str">
        <f>T("   847432")</f>
        <v xml:space="preserve">   847432</v>
      </c>
      <c r="B2592" t="str">
        <f>T("   Machines à mélanger les matières minérales au bitume")</f>
        <v xml:space="preserve">   Machines à mélanger les matières minérales au bitume</v>
      </c>
      <c r="C2592">
        <v>71620993</v>
      </c>
      <c r="D2592">
        <v>25540</v>
      </c>
    </row>
    <row r="2593" spans="1:4" x14ac:dyDescent="0.25">
      <c r="A2593" t="str">
        <f>T("   847439")</f>
        <v xml:space="preserve">   847439</v>
      </c>
      <c r="B2593" t="str">
        <f>T("   Machines et appareils à mélanger ou à malaxer les matières minérales solides, y.c. -les poudres et les pâtes- (sauf bétonnières et appareils à gâcher le ciment, machines à mélanger les matières minérales au bitume et sauf calandres)")</f>
        <v xml:space="preserve">   Machines et appareils à mélanger ou à malaxer les matières minérales solides, y.c. -les poudres et les pâtes- (sauf bétonnières et appareils à gâcher le ciment, machines à mélanger les matières minérales au bitume et sauf calandres)</v>
      </c>
      <c r="C2593">
        <v>6938473</v>
      </c>
      <c r="D2593">
        <v>3100</v>
      </c>
    </row>
    <row r="2594" spans="1:4" x14ac:dyDescent="0.25">
      <c r="A2594" t="str">
        <f>T("   847480")</f>
        <v xml:space="preserve">   847480</v>
      </c>
      <c r="B2594" t="s">
        <v>437</v>
      </c>
      <c r="C2594">
        <v>170958209</v>
      </c>
      <c r="D2594">
        <v>113338</v>
      </c>
    </row>
    <row r="2595" spans="1:4" x14ac:dyDescent="0.25">
      <c r="A2595" t="str">
        <f>T("   847529")</f>
        <v xml:space="preserve">   847529</v>
      </c>
      <c r="B2595" t="str">
        <f>T("   Machines pour la fabrication ou le travail à chaud du verre ou des ouvrages en verre (à l'excl. des machines pour la fabrication des fibres optiques et de leurs ébauches, ainsi des fours et des appareils thermiques pour la production de verre trempé)")</f>
        <v xml:space="preserve">   Machines pour la fabrication ou le travail à chaud du verre ou des ouvrages en verre (à l'excl. des machines pour la fabrication des fibres optiques et de leurs ébauches, ainsi des fours et des appareils thermiques pour la production de verre trempé)</v>
      </c>
      <c r="C2595">
        <v>7576753</v>
      </c>
      <c r="D2595">
        <v>3329</v>
      </c>
    </row>
    <row r="2596" spans="1:4" x14ac:dyDescent="0.25">
      <c r="A2596" t="str">
        <f>T("   847710")</f>
        <v xml:space="preserve">   847710</v>
      </c>
      <c r="B2596" t="str">
        <f>T("   Machines à mouler par injection pour le travail du caoutchouc ou des matières plastiques ou pour la fabrication de produits en ces matières")</f>
        <v xml:space="preserve">   Machines à mouler par injection pour le travail du caoutchouc ou des matières plastiques ou pour la fabrication de produits en ces matières</v>
      </c>
      <c r="C2596">
        <v>296719895</v>
      </c>
      <c r="D2596">
        <v>57838</v>
      </c>
    </row>
    <row r="2597" spans="1:4" x14ac:dyDescent="0.25">
      <c r="A2597" t="str">
        <f>T("   847780")</f>
        <v xml:space="preserve">   847780</v>
      </c>
      <c r="B2597" t="str">
        <f>T("   MACHINES ET APPAREILS POUR LE TRAVAIL DU CAOUTCHOUC OU DES MATIÈRES PLASTIQUES OU POUR LA FABRICATION DE PRODUITS EN CES MATIÈRES N.D.A. DANS LE CHAPITRE 84")</f>
        <v xml:space="preserve">   MACHINES ET APPAREILS POUR LE TRAVAIL DU CAOUTCHOUC OU DES MATIÈRES PLASTIQUES OU POUR LA FABRICATION DE PRODUITS EN CES MATIÈRES N.D.A. DANS LE CHAPITRE 84</v>
      </c>
      <c r="C2597">
        <v>50246833</v>
      </c>
      <c r="D2597">
        <v>1545</v>
      </c>
    </row>
    <row r="2598" spans="1:4" x14ac:dyDescent="0.25">
      <c r="A2598" t="str">
        <f>T("   847790")</f>
        <v xml:space="preserve">   847790</v>
      </c>
      <c r="B2598" t="str">
        <f>T("   Parties des machines et appareils pour le travail du caoutchouc ou des matières plastiques ou pour la fabrication de produits en ces matières, n.d.a.")</f>
        <v xml:space="preserve">   Parties des machines et appareils pour le travail du caoutchouc ou des matières plastiques ou pour la fabrication de produits en ces matières, n.d.a.</v>
      </c>
      <c r="C2598">
        <v>987461</v>
      </c>
      <c r="D2598">
        <v>341</v>
      </c>
    </row>
    <row r="2599" spans="1:4" x14ac:dyDescent="0.25">
      <c r="A2599" t="str">
        <f>T("   847989")</f>
        <v xml:space="preserve">   847989</v>
      </c>
      <c r="B2599" t="str">
        <f>T("   Machines et appareils, y.c. les appareils mécaniques, n.d.a.")</f>
        <v xml:space="preserve">   Machines et appareils, y.c. les appareils mécaniques, n.d.a.</v>
      </c>
      <c r="C2599">
        <v>45852129</v>
      </c>
      <c r="D2599">
        <v>49126</v>
      </c>
    </row>
    <row r="2600" spans="1:4" x14ac:dyDescent="0.25">
      <c r="A2600" t="str">
        <f>T("   847990")</f>
        <v xml:space="preserve">   847990</v>
      </c>
      <c r="B2600" t="str">
        <f>T("   Parties de machines et appareils, y.c. les appareils mécaniques, n.d.a.")</f>
        <v xml:space="preserve">   Parties de machines et appareils, y.c. les appareils mécaniques, n.d.a.</v>
      </c>
      <c r="C2600">
        <v>5515060</v>
      </c>
      <c r="D2600">
        <v>21000</v>
      </c>
    </row>
    <row r="2601" spans="1:4" x14ac:dyDescent="0.25">
      <c r="A2601" t="str">
        <f>T("   848060")</f>
        <v xml:space="preserve">   848060</v>
      </c>
      <c r="B2601" t="str">
        <f>T("   Moules pour les matières minérales (autres qu'en graphite ou autres formes de carbone, autres qu'en produits céramiques ou en verre)")</f>
        <v xml:space="preserve">   Moules pour les matières minérales (autres qu'en graphite ou autres formes de carbone, autres qu'en produits céramiques ou en verre)</v>
      </c>
      <c r="C2601">
        <v>1898706</v>
      </c>
      <c r="D2601">
        <v>4543</v>
      </c>
    </row>
    <row r="2602" spans="1:4" x14ac:dyDescent="0.25">
      <c r="A2602" t="str">
        <f>T("   848071")</f>
        <v xml:space="preserve">   848071</v>
      </c>
      <c r="B2602" t="str">
        <f>T("   Moules pour le caoutchouc ou les matières plastiques, pour le moulage par injection ou par compression")</f>
        <v xml:space="preserve">   Moules pour le caoutchouc ou les matières plastiques, pour le moulage par injection ou par compression</v>
      </c>
      <c r="C2602">
        <v>7581180</v>
      </c>
      <c r="D2602">
        <v>2200</v>
      </c>
    </row>
    <row r="2603" spans="1:4" x14ac:dyDescent="0.25">
      <c r="A2603" t="str">
        <f>T("   848079")</f>
        <v xml:space="preserve">   848079</v>
      </c>
      <c r="B2603" t="s">
        <v>441</v>
      </c>
      <c r="C2603">
        <v>37091140</v>
      </c>
      <c r="D2603">
        <v>18382</v>
      </c>
    </row>
    <row r="2604" spans="1:4" x14ac:dyDescent="0.25">
      <c r="A2604" t="str">
        <f>T("   848110")</f>
        <v xml:space="preserve">   848110</v>
      </c>
      <c r="B2604" t="str">
        <f>T("   Détendeurs")</f>
        <v xml:space="preserve">   Détendeurs</v>
      </c>
      <c r="C2604">
        <v>8000352</v>
      </c>
      <c r="D2604">
        <v>3600</v>
      </c>
    </row>
    <row r="2605" spans="1:4" x14ac:dyDescent="0.25">
      <c r="A2605" t="str">
        <f>T("   848120")</f>
        <v xml:space="preserve">   848120</v>
      </c>
      <c r="B2605" t="str">
        <f>T("   Valves pour transmissions oléohydrauliques ou pneumatiques")</f>
        <v xml:space="preserve">   Valves pour transmissions oléohydrauliques ou pneumatiques</v>
      </c>
      <c r="C2605">
        <v>77115</v>
      </c>
      <c r="D2605">
        <v>3</v>
      </c>
    </row>
    <row r="2606" spans="1:4" x14ac:dyDescent="0.25">
      <c r="A2606" t="str">
        <f>T("   848180")</f>
        <v xml:space="preserve">   848180</v>
      </c>
      <c r="B2606" t="str">
        <f>T("   Articles de robinetterie et organes simil. pour tuyauteries, etc. (à l'excl. des détendeurs, valves pour transmissions oléohydrauliques ou pneumatiques, clapets et soupapes de retenue et sauf soupapes de trop-plein ou de sûreté)")</f>
        <v xml:space="preserve">   Articles de robinetterie et organes simil. pour tuyauteries, etc. (à l'excl. des détendeurs, valves pour transmissions oléohydrauliques ou pneumatiques, clapets et soupapes de retenue et sauf soupapes de trop-plein ou de sûreté)</v>
      </c>
      <c r="C2606">
        <v>225262224</v>
      </c>
      <c r="D2606">
        <v>250274</v>
      </c>
    </row>
    <row r="2607" spans="1:4" x14ac:dyDescent="0.25">
      <c r="A2607" t="str">
        <f>T("   848210")</f>
        <v xml:space="preserve">   848210</v>
      </c>
      <c r="B2607" t="str">
        <f>T("   Roulements à billes")</f>
        <v xml:space="preserve">   Roulements à billes</v>
      </c>
      <c r="C2607">
        <v>4766094</v>
      </c>
      <c r="D2607">
        <v>7900</v>
      </c>
    </row>
    <row r="2608" spans="1:4" x14ac:dyDescent="0.25">
      <c r="A2608" t="str">
        <f>T("   848350")</f>
        <v xml:space="preserve">   848350</v>
      </c>
      <c r="B2608" t="str">
        <f>T("   Volants et poulies, y.c. les poulies à moufles")</f>
        <v xml:space="preserve">   Volants et poulies, y.c. les poulies à moufles</v>
      </c>
      <c r="C2608">
        <v>49971</v>
      </c>
      <c r="D2608">
        <v>93</v>
      </c>
    </row>
    <row r="2609" spans="1:4" x14ac:dyDescent="0.25">
      <c r="A2609" t="str">
        <f>T("   848410")</f>
        <v xml:space="preserve">   848410</v>
      </c>
      <c r="B2609" t="str">
        <f>T("   Joints métalloplastiques")</f>
        <v xml:space="preserve">   Joints métalloplastiques</v>
      </c>
      <c r="C2609">
        <v>61376</v>
      </c>
      <c r="D2609">
        <v>2777</v>
      </c>
    </row>
    <row r="2610" spans="1:4" x14ac:dyDescent="0.25">
      <c r="A2610" t="str">
        <f>T("   848420")</f>
        <v xml:space="preserve">   848420</v>
      </c>
      <c r="B2610" t="str">
        <f>T("   Joints d'étanchéité mécaniques")</f>
        <v xml:space="preserve">   Joints d'étanchéité mécaniques</v>
      </c>
      <c r="C2610">
        <v>75387</v>
      </c>
      <c r="D2610">
        <v>1520</v>
      </c>
    </row>
    <row r="2611" spans="1:4" x14ac:dyDescent="0.25">
      <c r="A2611" t="str">
        <f>T("   848490")</f>
        <v xml:space="preserve">   848490</v>
      </c>
      <c r="B2611" t="str">
        <f>T("   Jeux ou assortiments de joints de composition différente présentés en pochettes, enveloppes ou emballages analogues")</f>
        <v xml:space="preserve">   Jeux ou assortiments de joints de composition différente présentés en pochettes, enveloppes ou emballages analogues</v>
      </c>
      <c r="C2611">
        <v>2855778</v>
      </c>
      <c r="D2611">
        <v>10272</v>
      </c>
    </row>
    <row r="2612" spans="1:4" x14ac:dyDescent="0.25">
      <c r="A2612" t="str">
        <f>T("   850110")</f>
        <v xml:space="preserve">   850110</v>
      </c>
      <c r="B2612" t="str">
        <f>T("   Moteurs d'une puissance &lt;= 37,5 W")</f>
        <v xml:space="preserve">   Moteurs d'une puissance &lt;= 37,5 W</v>
      </c>
      <c r="C2612">
        <v>186500</v>
      </c>
      <c r="D2612">
        <v>250</v>
      </c>
    </row>
    <row r="2613" spans="1:4" x14ac:dyDescent="0.25">
      <c r="A2613" t="str">
        <f>T("   850131")</f>
        <v xml:space="preserve">   850131</v>
      </c>
      <c r="B2613" t="str">
        <f>T("   Moteurs à courant continu, puissance &lt;= 750 W mais &gt; 37,5 W et génératrices à courant continu, puissance &lt;= 750 W")</f>
        <v xml:space="preserve">   Moteurs à courant continu, puissance &lt;= 750 W mais &gt; 37,5 W et génératrices à courant continu, puissance &lt;= 750 W</v>
      </c>
      <c r="C2613">
        <v>830723</v>
      </c>
      <c r="D2613">
        <v>50</v>
      </c>
    </row>
    <row r="2614" spans="1:4" x14ac:dyDescent="0.25">
      <c r="A2614" t="str">
        <f>T("   850132")</f>
        <v xml:space="preserve">   850132</v>
      </c>
      <c r="B2614" t="str">
        <f>T("   Moteurs et génératrices à courant continu, puissance &gt; 750 W mais &lt;= 75 kW")</f>
        <v xml:space="preserve">   Moteurs et génératrices à courant continu, puissance &gt; 750 W mais &lt;= 75 kW</v>
      </c>
      <c r="C2614">
        <v>202485</v>
      </c>
      <c r="D2614">
        <v>300</v>
      </c>
    </row>
    <row r="2615" spans="1:4" x14ac:dyDescent="0.25">
      <c r="A2615" t="str">
        <f>T("   850151")</f>
        <v xml:space="preserve">   850151</v>
      </c>
      <c r="B2615" t="str">
        <f>T("   Moteurs à courant alternatif, polyphasés, puissance &gt; 37,5 W mais &lt;= 750 W")</f>
        <v xml:space="preserve">   Moteurs à courant alternatif, polyphasés, puissance &gt; 37,5 W mais &lt;= 750 W</v>
      </c>
      <c r="C2615">
        <v>138427</v>
      </c>
      <c r="D2615">
        <v>200</v>
      </c>
    </row>
    <row r="2616" spans="1:4" x14ac:dyDescent="0.25">
      <c r="A2616" t="str">
        <f>T("   850161")</f>
        <v xml:space="preserve">   850161</v>
      </c>
      <c r="B2616" t="str">
        <f>T("   Alternateurs, puissance &lt;= 75 kVA")</f>
        <v xml:space="preserve">   Alternateurs, puissance &lt;= 75 kVA</v>
      </c>
      <c r="C2616">
        <v>1971567</v>
      </c>
      <c r="D2616">
        <v>1000</v>
      </c>
    </row>
    <row r="2617" spans="1:4" x14ac:dyDescent="0.25">
      <c r="A2617" t="str">
        <f>T("   850211")</f>
        <v xml:space="preserve">   850211</v>
      </c>
      <c r="B2617" t="s">
        <v>444</v>
      </c>
      <c r="C2617">
        <v>32735630</v>
      </c>
      <c r="D2617">
        <v>34512</v>
      </c>
    </row>
    <row r="2618" spans="1:4" x14ac:dyDescent="0.25">
      <c r="A2618" t="str">
        <f>T("   850213")</f>
        <v xml:space="preserve">   850213</v>
      </c>
      <c r="B2618" t="s">
        <v>445</v>
      </c>
      <c r="C2618">
        <v>215736024</v>
      </c>
      <c r="D2618">
        <v>43406</v>
      </c>
    </row>
    <row r="2619" spans="1:4" x14ac:dyDescent="0.25">
      <c r="A2619" t="str">
        <f>T("   850220")</f>
        <v xml:space="preserve">   850220</v>
      </c>
      <c r="B2619" t="s">
        <v>446</v>
      </c>
      <c r="C2619">
        <v>16462586</v>
      </c>
      <c r="D2619">
        <v>8636</v>
      </c>
    </row>
    <row r="2620" spans="1:4" x14ac:dyDescent="0.25">
      <c r="A2620" t="str">
        <f>T("   850239")</f>
        <v xml:space="preserve">   850239</v>
      </c>
      <c r="B2620" t="str">
        <f>T("   Groupes électrogènes (autres qu'à énergie éolienne et à moteurs à piston)")</f>
        <v xml:space="preserve">   Groupes électrogènes (autres qu'à énergie éolienne et à moteurs à piston)</v>
      </c>
      <c r="C2620">
        <v>90195752</v>
      </c>
      <c r="D2620">
        <v>50516</v>
      </c>
    </row>
    <row r="2621" spans="1:4" x14ac:dyDescent="0.25">
      <c r="A2621" t="str">
        <f>T("   850300")</f>
        <v xml:space="preserve">   850300</v>
      </c>
      <c r="B2621" t="str">
        <f>T("   Parties reconnaissables comme étant exclusivement ou principalement destinées aux moteurs et machines génératrices électriques, groupes électrogènes ou convertisseurs rotatifs électriques n.d.a.")</f>
        <v xml:space="preserve">   Parties reconnaissables comme étant exclusivement ou principalement destinées aux moteurs et machines génératrices électriques, groupes électrogènes ou convertisseurs rotatifs électriques n.d.a.</v>
      </c>
      <c r="C2621">
        <v>52591854</v>
      </c>
      <c r="D2621">
        <v>30136</v>
      </c>
    </row>
    <row r="2622" spans="1:4" x14ac:dyDescent="0.25">
      <c r="A2622" t="str">
        <f>T("   850431")</f>
        <v xml:space="preserve">   850431</v>
      </c>
      <c r="B2622" t="str">
        <f>T("   Transformateurs à sec, puissance &lt;= 1 kVA")</f>
        <v xml:space="preserve">   Transformateurs à sec, puissance &lt;= 1 kVA</v>
      </c>
      <c r="C2622">
        <v>13181386</v>
      </c>
      <c r="D2622">
        <v>23801</v>
      </c>
    </row>
    <row r="2623" spans="1:4" x14ac:dyDescent="0.25">
      <c r="A2623" t="str">
        <f>T("   850432")</f>
        <v xml:space="preserve">   850432</v>
      </c>
      <c r="B2623" t="str">
        <f>T("   Transformateurs à sec, puissance &gt; 1 kVA mais &lt;= 16 kVA")</f>
        <v xml:space="preserve">   Transformateurs à sec, puissance &gt; 1 kVA mais &lt;= 16 kVA</v>
      </c>
      <c r="C2623">
        <v>313979</v>
      </c>
      <c r="D2623">
        <v>350</v>
      </c>
    </row>
    <row r="2624" spans="1:4" x14ac:dyDescent="0.25">
      <c r="A2624" t="str">
        <f>T("   850440")</f>
        <v xml:space="preserve">   850440</v>
      </c>
      <c r="B2624" t="str">
        <f>T("   CONVERTISSEURS STATIQUES")</f>
        <v xml:space="preserve">   CONVERTISSEURS STATIQUES</v>
      </c>
      <c r="C2624">
        <v>22664180</v>
      </c>
      <c r="D2624">
        <v>38557</v>
      </c>
    </row>
    <row r="2625" spans="1:4" x14ac:dyDescent="0.25">
      <c r="A2625" t="str">
        <f>T("   850590")</f>
        <v xml:space="preserve">   850590</v>
      </c>
      <c r="B2625" t="str">
        <f>T("   ÉLECTRO-AIMANTS (AUTRES QU'À USAGES MÉDICAUX), TÊTES DE LEVAGE ÉLECTROMAGNÉTIQUES AINSI QUE PLATEAUX, MANDRINS ET DISPOSITIFS MAGNÉTIQUES OU ÉLECTROMAGNÉTIQUES SIMIL. DE FIXATION ET LEURS PARTIES N.D.A.")</f>
        <v xml:space="preserve">   ÉLECTRO-AIMANTS (AUTRES QU'À USAGES MÉDICAUX), TÊTES DE LEVAGE ÉLECTROMAGNÉTIQUES AINSI QUE PLATEAUX, MANDRINS ET DISPOSITIFS MAGNÉTIQUES OU ÉLECTROMAGNÉTIQUES SIMIL. DE FIXATION ET LEURS PARTIES N.D.A.</v>
      </c>
      <c r="C2625">
        <v>7531387</v>
      </c>
      <c r="D2625">
        <v>24000</v>
      </c>
    </row>
    <row r="2626" spans="1:4" x14ac:dyDescent="0.25">
      <c r="A2626" t="str">
        <f>T("   850610")</f>
        <v xml:space="preserve">   850610</v>
      </c>
      <c r="B2626" t="str">
        <f>T("   Piles et batteries de piles électriques, au bioxyde de manganèse (sauf hors d'usage)")</f>
        <v xml:space="preserve">   Piles et batteries de piles électriques, au bioxyde de manganèse (sauf hors d'usage)</v>
      </c>
      <c r="C2626">
        <v>701492613</v>
      </c>
      <c r="D2626">
        <v>2350892</v>
      </c>
    </row>
    <row r="2627" spans="1:4" x14ac:dyDescent="0.25">
      <c r="A2627" t="str">
        <f>T("   850650")</f>
        <v xml:space="preserve">   850650</v>
      </c>
      <c r="B2627" t="str">
        <f>T("   Piles et batteries de piles électriques, au lithium (sauf hors d'usage)")</f>
        <v xml:space="preserve">   Piles et batteries de piles électriques, au lithium (sauf hors d'usage)</v>
      </c>
      <c r="C2627">
        <v>3183748</v>
      </c>
      <c r="D2627">
        <v>626</v>
      </c>
    </row>
    <row r="2628" spans="1:4" x14ac:dyDescent="0.25">
      <c r="A2628" t="str">
        <f>T("   850660")</f>
        <v xml:space="preserve">   850660</v>
      </c>
      <c r="B2628" t="str">
        <f>T("   Piles et batteries de piles électriques, à l'air-zinc (sauf hors d'usage)")</f>
        <v xml:space="preserve">   Piles et batteries de piles électriques, à l'air-zinc (sauf hors d'usage)</v>
      </c>
      <c r="C2628">
        <v>24900000</v>
      </c>
      <c r="D2628">
        <v>161090</v>
      </c>
    </row>
    <row r="2629" spans="1:4" x14ac:dyDescent="0.25">
      <c r="A2629" t="str">
        <f>T("   850680")</f>
        <v xml:space="preserve">   850680</v>
      </c>
      <c r="B2629" t="str">
        <f>T("   Piles et batteries de piles électriques (sauf hors d'usage et autres que piles et batteries à l'oxyde d'argent, de mercure, au bioxyde de manganèse, au lithium et à l'air-zinc)")</f>
        <v xml:space="preserve">   Piles et batteries de piles électriques (sauf hors d'usage et autres que piles et batteries à l'oxyde d'argent, de mercure, au bioxyde de manganèse, au lithium et à l'air-zinc)</v>
      </c>
      <c r="C2629">
        <v>164783220</v>
      </c>
      <c r="D2629">
        <v>794497</v>
      </c>
    </row>
    <row r="2630" spans="1:4" x14ac:dyDescent="0.25">
      <c r="A2630" t="str">
        <f>T("   850710")</f>
        <v xml:space="preserve">   850710</v>
      </c>
      <c r="B2630" t="str">
        <f>T("   Accumulateurs au plomb, pour le démarrage des moteurs à piston (sauf hors d'usage)")</f>
        <v xml:space="preserve">   Accumulateurs au plomb, pour le démarrage des moteurs à piston (sauf hors d'usage)</v>
      </c>
      <c r="C2630">
        <v>47994070</v>
      </c>
      <c r="D2630">
        <v>218987</v>
      </c>
    </row>
    <row r="2631" spans="1:4" x14ac:dyDescent="0.25">
      <c r="A2631" t="str">
        <f>T("   850720")</f>
        <v xml:space="preserve">   850720</v>
      </c>
      <c r="B2631" t="str">
        <f>T("   Accumulateurs au plomb (sauf hors d'usage et autres que pour le démarrage des moteurs à piston)")</f>
        <v xml:space="preserve">   Accumulateurs au plomb (sauf hors d'usage et autres que pour le démarrage des moteurs à piston)</v>
      </c>
      <c r="C2631">
        <v>4332944</v>
      </c>
      <c r="D2631">
        <v>24500</v>
      </c>
    </row>
    <row r="2632" spans="1:4" x14ac:dyDescent="0.25">
      <c r="A2632" t="str">
        <f>T("   850730")</f>
        <v xml:space="preserve">   850730</v>
      </c>
      <c r="B2632" t="str">
        <f>T("   Accumulateurs au nickel-cadmium (sauf hors d'usage)")</f>
        <v xml:space="preserve">   Accumulateurs au nickel-cadmium (sauf hors d'usage)</v>
      </c>
      <c r="C2632">
        <v>14423346</v>
      </c>
      <c r="D2632">
        <v>38610</v>
      </c>
    </row>
    <row r="2633" spans="1:4" x14ac:dyDescent="0.25">
      <c r="A2633" t="str">
        <f>T("   850780")</f>
        <v xml:space="preserve">   850780</v>
      </c>
      <c r="B2633" t="str">
        <f>T("   Accumulateurs électriques (sauf hors d'usage et autres qu'au plomb, au nickel-cadmium ou au nickel-fer)")</f>
        <v xml:space="preserve">   Accumulateurs électriques (sauf hors d'usage et autres qu'au plomb, au nickel-cadmium ou au nickel-fer)</v>
      </c>
      <c r="C2633">
        <v>86650206</v>
      </c>
      <c r="D2633">
        <v>35871</v>
      </c>
    </row>
    <row r="2634" spans="1:4" x14ac:dyDescent="0.25">
      <c r="A2634" t="str">
        <f>T("   850910")</f>
        <v xml:space="preserve">   850910</v>
      </c>
      <c r="B2634" t="str">
        <f>T("   Aspirateurs de poussières, y.c. les aspirateurs de matières sèches et de matières liquides, à moteur électrique incorporé, à usage domestique")</f>
        <v xml:space="preserve">   Aspirateurs de poussières, y.c. les aspirateurs de matières sèches et de matières liquides, à moteur électrique incorporé, à usage domestique</v>
      </c>
      <c r="C2634">
        <v>154985</v>
      </c>
      <c r="D2634">
        <v>236</v>
      </c>
    </row>
    <row r="2635" spans="1:4" x14ac:dyDescent="0.25">
      <c r="A2635" t="str">
        <f>T("   850940")</f>
        <v xml:space="preserve">   850940</v>
      </c>
      <c r="B2635" t="str">
        <f>T("   Broyeurs et mélangeurs pour aliments; presse-fruits et presse-légumes à moteur électrique incorporé, à usage domestique")</f>
        <v xml:space="preserve">   Broyeurs et mélangeurs pour aliments; presse-fruits et presse-légumes à moteur électrique incorporé, à usage domestique</v>
      </c>
      <c r="C2635">
        <v>13729270</v>
      </c>
      <c r="D2635">
        <v>12392</v>
      </c>
    </row>
    <row r="2636" spans="1:4" x14ac:dyDescent="0.25">
      <c r="A2636" t="str">
        <f>T("   850980")</f>
        <v xml:space="preserve">   850980</v>
      </c>
      <c r="B2636" t="s">
        <v>447</v>
      </c>
      <c r="C2636">
        <v>12021752</v>
      </c>
      <c r="D2636">
        <v>10895</v>
      </c>
    </row>
    <row r="2637" spans="1:4" x14ac:dyDescent="0.25">
      <c r="A2637" t="str">
        <f>T("   851180")</f>
        <v xml:space="preserve">   851180</v>
      </c>
      <c r="B2637" t="s">
        <v>448</v>
      </c>
      <c r="C2637">
        <v>533517</v>
      </c>
      <c r="D2637">
        <v>595</v>
      </c>
    </row>
    <row r="2638" spans="1:4" x14ac:dyDescent="0.25">
      <c r="A2638" t="str">
        <f>T("   851220")</f>
        <v xml:space="preserve">   851220</v>
      </c>
      <c r="B2638" t="str">
        <f>T("   Appareils électriques d'éclairage ou de signalisation visuelle, pour automobiles (à l'excl. des lampes du n° 8539)")</f>
        <v xml:space="preserve">   Appareils électriques d'éclairage ou de signalisation visuelle, pour automobiles (à l'excl. des lampes du n° 8539)</v>
      </c>
      <c r="C2638">
        <v>759856</v>
      </c>
      <c r="D2638">
        <v>3650</v>
      </c>
    </row>
    <row r="2639" spans="1:4" x14ac:dyDescent="0.25">
      <c r="A2639" t="str">
        <f>T("   851230")</f>
        <v xml:space="preserve">   851230</v>
      </c>
      <c r="B2639" t="str">
        <f>T("   APPAREILS ÉLECTRIQUES DE SIGNALISATION ACOUSTIQUE, POUR CYCLES OU POUR AUTOMOBILES")</f>
        <v xml:space="preserve">   APPAREILS ÉLECTRIQUES DE SIGNALISATION ACOUSTIQUE, POUR CYCLES OU POUR AUTOMOBILES</v>
      </c>
      <c r="C2639">
        <v>1051281</v>
      </c>
      <c r="D2639">
        <v>9885</v>
      </c>
    </row>
    <row r="2640" spans="1:4" x14ac:dyDescent="0.25">
      <c r="A2640" t="str">
        <f>T("   851310")</f>
        <v xml:space="preserve">   851310</v>
      </c>
      <c r="B2640" t="str">
        <f>T("   Lampes électriques portatives, destinées à fonctionner au moyen de leur propre source d'énergie")</f>
        <v xml:space="preserve">   Lampes électriques portatives, destinées à fonctionner au moyen de leur propre source d'énergie</v>
      </c>
      <c r="C2640">
        <v>72901229</v>
      </c>
      <c r="D2640">
        <v>163175</v>
      </c>
    </row>
    <row r="2641" spans="1:4" x14ac:dyDescent="0.25">
      <c r="A2641" t="str">
        <f>T("   851580")</f>
        <v xml:space="preserve">   851580</v>
      </c>
      <c r="B2641" t="s">
        <v>450</v>
      </c>
      <c r="C2641">
        <v>1483446</v>
      </c>
      <c r="D2641">
        <v>8510</v>
      </c>
    </row>
    <row r="2642" spans="1:4" x14ac:dyDescent="0.25">
      <c r="A2642" t="str">
        <f>T("   851610")</f>
        <v xml:space="preserve">   851610</v>
      </c>
      <c r="B2642" t="str">
        <f>T("   Chauffe-eau et thermoplongeurs électriques")</f>
        <v xml:space="preserve">   Chauffe-eau et thermoplongeurs électriques</v>
      </c>
      <c r="C2642">
        <v>7519156</v>
      </c>
      <c r="D2642">
        <v>11200</v>
      </c>
    </row>
    <row r="2643" spans="1:4" x14ac:dyDescent="0.25">
      <c r="A2643" t="str">
        <f>T("   851629")</f>
        <v xml:space="preserve">   851629</v>
      </c>
      <c r="B2643" t="str">
        <f>T("   Appareils électriques pour le chauffage des locaux, du sol ou pour usages simil. (sauf radiateurs à accumulation)")</f>
        <v xml:space="preserve">   Appareils électriques pour le chauffage des locaux, du sol ou pour usages simil. (sauf radiateurs à accumulation)</v>
      </c>
      <c r="C2643">
        <v>1198375</v>
      </c>
      <c r="D2643">
        <v>590</v>
      </c>
    </row>
    <row r="2644" spans="1:4" x14ac:dyDescent="0.25">
      <c r="A2644" t="str">
        <f>T("   851632")</f>
        <v xml:space="preserve">   851632</v>
      </c>
      <c r="B2644" t="str">
        <f>T("   Appareils électrothermiques pour la coiffure (autres que sèche-cheveux)")</f>
        <v xml:space="preserve">   Appareils électrothermiques pour la coiffure (autres que sèche-cheveux)</v>
      </c>
      <c r="C2644">
        <v>3129334</v>
      </c>
      <c r="D2644">
        <v>4231</v>
      </c>
    </row>
    <row r="2645" spans="1:4" x14ac:dyDescent="0.25">
      <c r="A2645" t="str">
        <f>T("   851640")</f>
        <v xml:space="preserve">   851640</v>
      </c>
      <c r="B2645" t="str">
        <f>T("   Fers à repasser électriques")</f>
        <v xml:space="preserve">   Fers à repasser électriques</v>
      </c>
      <c r="C2645">
        <v>2591218</v>
      </c>
      <c r="D2645">
        <v>856</v>
      </c>
    </row>
    <row r="2646" spans="1:4" x14ac:dyDescent="0.25">
      <c r="A2646" t="str">
        <f>T("   851650")</f>
        <v xml:space="preserve">   851650</v>
      </c>
      <c r="B2646" t="str">
        <f>T("   Fours à micro-ondes")</f>
        <v xml:space="preserve">   Fours à micro-ondes</v>
      </c>
      <c r="C2646">
        <v>4929310</v>
      </c>
      <c r="D2646">
        <v>1943</v>
      </c>
    </row>
    <row r="2647" spans="1:4" x14ac:dyDescent="0.25">
      <c r="A2647" t="str">
        <f>T("   851660")</f>
        <v xml:space="preserve">   851660</v>
      </c>
      <c r="B2647" t="str">
        <f>T("   Fours, cuisinières, réchauds, tables de cuisson, grils et rôtissoires électriques, pour usages domestiques (sauf fours destinés au chauffage des locaux et fours à micro-ondes)")</f>
        <v xml:space="preserve">   Fours, cuisinières, réchauds, tables de cuisson, grils et rôtissoires électriques, pour usages domestiques (sauf fours destinés au chauffage des locaux et fours à micro-ondes)</v>
      </c>
      <c r="C2647">
        <v>11166160</v>
      </c>
      <c r="D2647">
        <v>7169</v>
      </c>
    </row>
    <row r="2648" spans="1:4" x14ac:dyDescent="0.25">
      <c r="A2648" t="str">
        <f>T("   851671")</f>
        <v xml:space="preserve">   851671</v>
      </c>
      <c r="B2648" t="str">
        <f>T("   Appareils électriques pour la préparation du café ou du thé, pour usages domestiques")</f>
        <v xml:space="preserve">   Appareils électriques pour la préparation du café ou du thé, pour usages domestiques</v>
      </c>
      <c r="C2648">
        <v>3567677</v>
      </c>
      <c r="D2648">
        <v>892</v>
      </c>
    </row>
    <row r="2649" spans="1:4" x14ac:dyDescent="0.25">
      <c r="A2649" t="str">
        <f>T("   851679")</f>
        <v xml:space="preserve">   851679</v>
      </c>
      <c r="B2649" t="s">
        <v>451</v>
      </c>
      <c r="C2649">
        <v>11232633</v>
      </c>
      <c r="D2649">
        <v>9216</v>
      </c>
    </row>
    <row r="2650" spans="1:4" x14ac:dyDescent="0.25">
      <c r="A2650" t="str">
        <f>T("   851690")</f>
        <v xml:space="preserve">   851690</v>
      </c>
      <c r="B2650" t="str">
        <f>T("   Parties des chauffe-eau, appareils de chauffage des locaux, appareils électriques pour la coiffure ou pour sécher les mains, appareils électrothermiques pour usages domestiques et résistances chauffantes, n.d.a.")</f>
        <v xml:space="preserve">   Parties des chauffe-eau, appareils de chauffage des locaux, appareils électriques pour la coiffure ou pour sécher les mains, appareils électrothermiques pour usages domestiques et résistances chauffantes, n.d.a.</v>
      </c>
      <c r="C2650">
        <v>9840</v>
      </c>
      <c r="D2650">
        <v>15</v>
      </c>
    </row>
    <row r="2651" spans="1:4" x14ac:dyDescent="0.25">
      <c r="A2651" t="str">
        <f>T("   851711")</f>
        <v xml:space="preserve">   851711</v>
      </c>
      <c r="B2651" t="str">
        <f>T("   Postes téléphoniques d'usagers pour la téléphonie par fil à combinés sans fil")</f>
        <v xml:space="preserve">   Postes téléphoniques d'usagers pour la téléphonie par fil à combinés sans fil</v>
      </c>
      <c r="C2651">
        <v>1466533</v>
      </c>
      <c r="D2651">
        <v>400</v>
      </c>
    </row>
    <row r="2652" spans="1:4" x14ac:dyDescent="0.25">
      <c r="A2652" t="str">
        <f>T("   851719")</f>
        <v xml:space="preserve">   851719</v>
      </c>
      <c r="B2652" t="str">
        <f>T("   Postes téléphoniques d'usagers pour la téléphonie par fil; visiophones (sauf postes téléphoniques d'usagers par fil à combinés sans fil et parlophones)")</f>
        <v xml:space="preserve">   Postes téléphoniques d'usagers pour la téléphonie par fil; visiophones (sauf postes téléphoniques d'usagers par fil à combinés sans fil et parlophones)</v>
      </c>
      <c r="C2652">
        <v>3471485</v>
      </c>
      <c r="D2652">
        <v>4127</v>
      </c>
    </row>
    <row r="2653" spans="1:4" x14ac:dyDescent="0.25">
      <c r="A2653" t="str">
        <f>T("   851780")</f>
        <v xml:space="preserve">   851780</v>
      </c>
      <c r="B2653" t="s">
        <v>453</v>
      </c>
      <c r="C2653">
        <v>427848169</v>
      </c>
      <c r="D2653">
        <v>18184</v>
      </c>
    </row>
    <row r="2654" spans="1:4" x14ac:dyDescent="0.25">
      <c r="A2654" t="str">
        <f>T("   851790")</f>
        <v xml:space="preserve">   851790</v>
      </c>
      <c r="B2654" t="s">
        <v>454</v>
      </c>
      <c r="C2654">
        <v>31966430</v>
      </c>
      <c r="D2654">
        <v>2306</v>
      </c>
    </row>
    <row r="2655" spans="1:4" x14ac:dyDescent="0.25">
      <c r="A2655" t="str">
        <f>T("   851822")</f>
        <v xml:space="preserve">   851822</v>
      </c>
      <c r="B2655" t="str">
        <f>T("   Haut-parleurs multiples montés dans la même enceinte")</f>
        <v xml:space="preserve">   Haut-parleurs multiples montés dans la même enceinte</v>
      </c>
      <c r="C2655">
        <v>2698695</v>
      </c>
      <c r="D2655">
        <v>7838</v>
      </c>
    </row>
    <row r="2656" spans="1:4" x14ac:dyDescent="0.25">
      <c r="A2656" t="str">
        <f>T("   851829")</f>
        <v xml:space="preserve">   851829</v>
      </c>
      <c r="B2656" t="str">
        <f>T("   Haut-parleurs sans enceinte")</f>
        <v xml:space="preserve">   Haut-parleurs sans enceinte</v>
      </c>
      <c r="C2656">
        <v>117017295</v>
      </c>
      <c r="D2656">
        <v>164152</v>
      </c>
    </row>
    <row r="2657" spans="1:4" x14ac:dyDescent="0.25">
      <c r="A2657" t="str">
        <f>T("   851830")</f>
        <v xml:space="preserve">   851830</v>
      </c>
      <c r="B2657" t="s">
        <v>455</v>
      </c>
      <c r="C2657">
        <v>3950197</v>
      </c>
      <c r="D2657">
        <v>13957</v>
      </c>
    </row>
    <row r="2658" spans="1:4" x14ac:dyDescent="0.25">
      <c r="A2658" t="str">
        <f>T("   851840")</f>
        <v xml:space="preserve">   851840</v>
      </c>
      <c r="B2658" t="str">
        <f>T("   Amplificateurs électriques d'audiofréquence")</f>
        <v xml:space="preserve">   Amplificateurs électriques d'audiofréquence</v>
      </c>
      <c r="C2658">
        <v>215031</v>
      </c>
      <c r="D2658">
        <v>600</v>
      </c>
    </row>
    <row r="2659" spans="1:4" x14ac:dyDescent="0.25">
      <c r="A2659" t="str">
        <f>T("   851890")</f>
        <v xml:space="preserve">   851890</v>
      </c>
      <c r="B2659" t="str">
        <f>T("   Parties de microphones, haut-parleurs, casques d'écoute et écouteurs électro-acoustiques, amplificateurs électriques d'audiofréquence ou appareils électriques d'amplification du son, n.d.a.")</f>
        <v xml:space="preserve">   Parties de microphones, haut-parleurs, casques d'écoute et écouteurs électro-acoustiques, amplificateurs électriques d'audiofréquence ou appareils électriques d'amplification du son, n.d.a.</v>
      </c>
      <c r="C2659">
        <v>19117</v>
      </c>
      <c r="D2659">
        <v>29</v>
      </c>
    </row>
    <row r="2660" spans="1:4" x14ac:dyDescent="0.25">
      <c r="A2660" t="str">
        <f>T("   851999")</f>
        <v xml:space="preserve">   851999</v>
      </c>
      <c r="B2660" t="str">
        <f>T("   Appareils de reproduction du son, n'incorporant pas de dispositif d'enregistrement du son (autres que tourne-disques, électrophones commandés par l'introduction d'une pièce de monnaie ou d'un jeton, machines à dicter et lecteurs de cassettes)")</f>
        <v xml:space="preserve">   Appareils de reproduction du son, n'incorporant pas de dispositif d'enregistrement du son (autres que tourne-disques, électrophones commandés par l'introduction d'une pièce de monnaie ou d'un jeton, machines à dicter et lecteurs de cassettes)</v>
      </c>
      <c r="C2660">
        <v>1092456</v>
      </c>
      <c r="D2660">
        <v>2207</v>
      </c>
    </row>
    <row r="2661" spans="1:4" x14ac:dyDescent="0.25">
      <c r="A2661" t="str">
        <f>T("   852033")</f>
        <v xml:space="preserve">   852033</v>
      </c>
      <c r="B2661" t="str">
        <f>T("   Appareils d'enregistrement et de reproduction du son, à cassettes (autres que numériques)")</f>
        <v xml:space="preserve">   Appareils d'enregistrement et de reproduction du son, à cassettes (autres que numériques)</v>
      </c>
      <c r="C2661">
        <v>878147</v>
      </c>
      <c r="D2661">
        <v>1748</v>
      </c>
    </row>
    <row r="2662" spans="1:4" x14ac:dyDescent="0.25">
      <c r="A2662" t="str">
        <f>T("   852110")</f>
        <v xml:space="preserve">   852110</v>
      </c>
      <c r="B2662" t="s">
        <v>457</v>
      </c>
      <c r="C2662">
        <v>4687995</v>
      </c>
      <c r="D2662">
        <v>5610</v>
      </c>
    </row>
    <row r="2663" spans="1:4" x14ac:dyDescent="0.25">
      <c r="A2663" t="str">
        <f>T("   852190")</f>
        <v xml:space="preserve">   852190</v>
      </c>
      <c r="B2663" t="s">
        <v>458</v>
      </c>
      <c r="C2663">
        <v>82908155</v>
      </c>
      <c r="D2663">
        <v>105472</v>
      </c>
    </row>
    <row r="2664" spans="1:4" x14ac:dyDescent="0.25">
      <c r="A2664" t="str">
        <f>T("   852290")</f>
        <v xml:space="preserve">   852290</v>
      </c>
      <c r="B2664" t="s">
        <v>459</v>
      </c>
      <c r="C2664">
        <v>490688910</v>
      </c>
      <c r="D2664">
        <v>5500</v>
      </c>
    </row>
    <row r="2665" spans="1:4" x14ac:dyDescent="0.25">
      <c r="A2665" t="str">
        <f>T("   852320")</f>
        <v xml:space="preserve">   852320</v>
      </c>
      <c r="B2665" t="str">
        <f>T("   DISQUES MAGNÉTIQUES NON-ENREGISTRÉS")</f>
        <v xml:space="preserve">   DISQUES MAGNÉTIQUES NON-ENREGISTRÉS</v>
      </c>
      <c r="C2665">
        <v>2925837</v>
      </c>
      <c r="D2665">
        <v>8189</v>
      </c>
    </row>
    <row r="2666" spans="1:4" x14ac:dyDescent="0.25">
      <c r="A2666" t="str">
        <f>T("   852390")</f>
        <v xml:space="preserve">   852390</v>
      </c>
      <c r="B2666" t="str">
        <f>T("   SUPPORTS PRÉPARÉS POUR L'ENREGISTREMENT DU SON OU POUR ENREGISTREMENTS ANALOGUES, NON-ENREGISTRÉS (AUTRES QUE BANDES ET DISQUES MAGNÉTIQUES, CARTES MUNIES D'UNE PISTE MAGNÉTIQUE ET PRODUITS DU CHAPITRE 37)")</f>
        <v xml:space="preserve">   SUPPORTS PRÉPARÉS POUR L'ENREGISTREMENT DU SON OU POUR ENREGISTREMENTS ANALOGUES, NON-ENREGISTRÉS (AUTRES QUE BANDES ET DISQUES MAGNÉTIQUES, CARTES MUNIES D'UNE PISTE MAGNÉTIQUE ET PRODUITS DU CHAPITRE 37)</v>
      </c>
      <c r="C2666">
        <v>4663388</v>
      </c>
      <c r="D2666">
        <v>6969</v>
      </c>
    </row>
    <row r="2667" spans="1:4" x14ac:dyDescent="0.25">
      <c r="A2667" t="str">
        <f>T("   852439")</f>
        <v xml:space="preserve">   852439</v>
      </c>
      <c r="B2667" t="str">
        <f>T("   Disques enregistrés pour systèmes de lecture optique par faisceau laser, pour la reproduction du son et de l'image ou de l'image uniquement")</f>
        <v xml:space="preserve">   Disques enregistrés pour systèmes de lecture optique par faisceau laser, pour la reproduction du son et de l'image ou de l'image uniquement</v>
      </c>
      <c r="C2667">
        <v>513721</v>
      </c>
      <c r="D2667">
        <v>2000</v>
      </c>
    </row>
    <row r="2668" spans="1:4" x14ac:dyDescent="0.25">
      <c r="A2668" t="str">
        <f>T("   852491")</f>
        <v xml:space="preserve">   852491</v>
      </c>
      <c r="B2668" t="s">
        <v>460</v>
      </c>
      <c r="C2668">
        <v>6735300</v>
      </c>
      <c r="D2668">
        <v>5383</v>
      </c>
    </row>
    <row r="2669" spans="1:4" x14ac:dyDescent="0.25">
      <c r="A2669" t="str">
        <f>T("   852510")</f>
        <v xml:space="preserve">   852510</v>
      </c>
      <c r="B2669" t="str">
        <f>T("   Appareils d'émission, pour la radiotéléphonie, la radiotélégraphie, la radiodiffusion ou la télévision")</f>
        <v xml:space="preserve">   Appareils d'émission, pour la radiotéléphonie, la radiotélégraphie, la radiodiffusion ou la télévision</v>
      </c>
      <c r="C2669">
        <v>2664280</v>
      </c>
      <c r="D2669">
        <v>3110</v>
      </c>
    </row>
    <row r="2670" spans="1:4" x14ac:dyDescent="0.25">
      <c r="A2670" t="str">
        <f>T("   852520")</f>
        <v xml:space="preserve">   852520</v>
      </c>
      <c r="B2670" t="str">
        <f>T("   Appareils d'émission incorporant un appareil de réception, pour la radiotéléphonie, la radiotélégraphie, la radiodiffusion ou la télévision")</f>
        <v xml:space="preserve">   Appareils d'émission incorporant un appareil de réception, pour la radiotéléphonie, la radiotélégraphie, la radiodiffusion ou la télévision</v>
      </c>
      <c r="C2670">
        <v>13796173</v>
      </c>
      <c r="D2670">
        <v>1675</v>
      </c>
    </row>
    <row r="2671" spans="1:4" x14ac:dyDescent="0.25">
      <c r="A2671" t="str">
        <f>T("   852530")</f>
        <v xml:space="preserve">   852530</v>
      </c>
      <c r="B2671" t="str">
        <f>T("   Caméras de télévision (à l'excl. de caméscopes)")</f>
        <v xml:space="preserve">   Caméras de télévision (à l'excl. de caméscopes)</v>
      </c>
      <c r="C2671">
        <v>118399</v>
      </c>
      <c r="D2671">
        <v>150</v>
      </c>
    </row>
    <row r="2672" spans="1:4" x14ac:dyDescent="0.25">
      <c r="A2672" t="str">
        <f>T("   852540")</f>
        <v xml:space="preserve">   852540</v>
      </c>
      <c r="B2672" t="str">
        <f>T("   Appareils de prise de vues fixes vidéo et autres caméscopes; appareils photographiques numériques")</f>
        <v xml:space="preserve">   Appareils de prise de vues fixes vidéo et autres caméscopes; appareils photographiques numériques</v>
      </c>
      <c r="C2672">
        <v>2042355</v>
      </c>
      <c r="D2672">
        <v>2595</v>
      </c>
    </row>
    <row r="2673" spans="1:4" x14ac:dyDescent="0.25">
      <c r="A2673" t="str">
        <f>T("   852712")</f>
        <v xml:space="preserve">   852712</v>
      </c>
      <c r="B2673" t="str">
        <f>T("   Radiocassettes de poche [dimensions &lt;= 170 mm x 100 mm x 45 mm], avec amplificateur incorporé, sans haut-parleur incorporé, pouvant fonctionner sans source d'énergie électrique extérieure")</f>
        <v xml:space="preserve">   Radiocassettes de poche [dimensions &lt;= 170 mm x 100 mm x 45 mm], avec amplificateur incorporé, sans haut-parleur incorporé, pouvant fonctionner sans source d'énergie électrique extérieure</v>
      </c>
      <c r="C2673">
        <v>3234712</v>
      </c>
      <c r="D2673">
        <v>4339</v>
      </c>
    </row>
    <row r="2674" spans="1:4" x14ac:dyDescent="0.25">
      <c r="A2674" t="str">
        <f>T("   852713")</f>
        <v xml:space="preserve">   852713</v>
      </c>
      <c r="B2674" t="str">
        <f>T("   RÉCEPTEURS DE RADIODIFFUSION POUVANT FONCTIONNER SANS SOURCE D'ÉNERGIE EXTÉRIEURE, COMBINÉS À UN APPAREIL D'ENREGISTREMENT OU DE REPRODUCTION DU SON (À L'EXCL. DES RADIOCASSETTES DE POCHE)")</f>
        <v xml:space="preserve">   RÉCEPTEURS DE RADIODIFFUSION POUVANT FONCTIONNER SANS SOURCE D'ÉNERGIE EXTÉRIEURE, COMBINÉS À UN APPAREIL D'ENREGISTREMENT OU DE REPRODUCTION DU SON (À L'EXCL. DES RADIOCASSETTES DE POCHE)</v>
      </c>
      <c r="C2674">
        <v>18134291</v>
      </c>
      <c r="D2674">
        <v>22237</v>
      </c>
    </row>
    <row r="2675" spans="1:4" x14ac:dyDescent="0.25">
      <c r="A2675" t="str">
        <f>T("   852719")</f>
        <v xml:space="preserve">   852719</v>
      </c>
      <c r="B2675" t="str">
        <f>T("   Récepteurs de radiodiffusion pouvant fonctionner sans source d'énergie extérieure, y.c. les appareils recevant également la radiotéléphonie ou la radiotélégraphie, non combinés à un appareil d'enregistrement et de reproduction du son")</f>
        <v xml:space="preserve">   Récepteurs de radiodiffusion pouvant fonctionner sans source d'énergie extérieure, y.c. les appareils recevant également la radiotéléphonie ou la radiotélégraphie, non combinés à un appareil d'enregistrement et de reproduction du son</v>
      </c>
      <c r="C2675">
        <v>10488595</v>
      </c>
      <c r="D2675">
        <v>32541</v>
      </c>
    </row>
    <row r="2676" spans="1:4" x14ac:dyDescent="0.25">
      <c r="A2676" t="str">
        <f>T("   852739")</f>
        <v xml:space="preserve">   852739</v>
      </c>
      <c r="B2676" t="s">
        <v>464</v>
      </c>
      <c r="C2676">
        <v>269395</v>
      </c>
      <c r="D2676">
        <v>452</v>
      </c>
    </row>
    <row r="2677" spans="1:4" x14ac:dyDescent="0.25">
      <c r="A2677" t="str">
        <f>T("   852790")</f>
        <v xml:space="preserve">   852790</v>
      </c>
      <c r="B2677" t="str">
        <f>T("   Récepteurs pour la radiotéléphonie, la radiotélégraphie ou la radiodiffusion commerciale")</f>
        <v xml:space="preserve">   Récepteurs pour la radiotéléphonie, la radiotélégraphie ou la radiodiffusion commerciale</v>
      </c>
      <c r="C2677">
        <v>5899953</v>
      </c>
      <c r="D2677">
        <v>19417</v>
      </c>
    </row>
    <row r="2678" spans="1:4" x14ac:dyDescent="0.25">
      <c r="A2678" t="str">
        <f>T("   852812")</f>
        <v xml:space="preserve">   852812</v>
      </c>
      <c r="B2678"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2678">
        <v>363573022</v>
      </c>
      <c r="D2678">
        <v>328691</v>
      </c>
    </row>
    <row r="2679" spans="1:4" x14ac:dyDescent="0.25">
      <c r="A2679" t="str">
        <f>T("   852813")</f>
        <v xml:space="preserve">   852813</v>
      </c>
      <c r="B2679" t="str">
        <f>T("   Appareils récepteurs pour la télévision en noir et blanc ou en autres monochromes, même incorporant un appareil récepteur de radiodiffusion ou un appareil d'enregistrement ou de reproduction du son ou des images")</f>
        <v xml:space="preserve">   Appareils récepteurs pour la télévision en noir et blanc ou en autres monochromes, même incorporant un appareil récepteur de radiodiffusion ou un appareil d'enregistrement ou de reproduction du son ou des images</v>
      </c>
      <c r="C2679">
        <v>4261046</v>
      </c>
      <c r="D2679">
        <v>10369</v>
      </c>
    </row>
    <row r="2680" spans="1:4" x14ac:dyDescent="0.25">
      <c r="A2680" t="str">
        <f>T("   852821")</f>
        <v xml:space="preserve">   852821</v>
      </c>
      <c r="B2680" t="str">
        <f>T("   Moniteurs vidéo en couleurs")</f>
        <v xml:space="preserve">   Moniteurs vidéo en couleurs</v>
      </c>
      <c r="C2680">
        <v>17605611</v>
      </c>
      <c r="D2680">
        <v>26885</v>
      </c>
    </row>
    <row r="2681" spans="1:4" x14ac:dyDescent="0.25">
      <c r="A2681" t="str">
        <f>T("   852830")</f>
        <v xml:space="preserve">   852830</v>
      </c>
      <c r="B2681" t="str">
        <f>T("   Projecteurs vidéo")</f>
        <v xml:space="preserve">   Projecteurs vidéo</v>
      </c>
      <c r="C2681">
        <v>711061</v>
      </c>
      <c r="D2681">
        <v>11</v>
      </c>
    </row>
    <row r="2682" spans="1:4" x14ac:dyDescent="0.25">
      <c r="A2682" t="str">
        <f>T("   852910")</f>
        <v xml:space="preserve">   852910</v>
      </c>
      <c r="B2682" t="str">
        <f>T("   Antennes et réflecteurs d'antennes de tous types; parties reconnaissables comme étant utilisées conjointement avec ces articles, n.d.a.")</f>
        <v xml:space="preserve">   Antennes et réflecteurs d'antennes de tous types; parties reconnaissables comme étant utilisées conjointement avec ces articles, n.d.a.</v>
      </c>
      <c r="C2682">
        <v>48715464</v>
      </c>
      <c r="D2682">
        <v>128728</v>
      </c>
    </row>
    <row r="2683" spans="1:4" x14ac:dyDescent="0.25">
      <c r="A2683" t="str">
        <f>T("   852990")</f>
        <v xml:space="preserve">   852990</v>
      </c>
      <c r="B2683" t="s">
        <v>466</v>
      </c>
      <c r="C2683">
        <v>17899986</v>
      </c>
      <c r="D2683">
        <v>19769</v>
      </c>
    </row>
    <row r="2684" spans="1:4" x14ac:dyDescent="0.25">
      <c r="A2684" t="str">
        <f>T("   853120")</f>
        <v xml:space="preserve">   853120</v>
      </c>
      <c r="B2684" t="str">
        <f>T("   Panneaux indicateurs avec dispositifs à cristaux liquides [LCD] ou à diodes émettrices de lumière [LED] (autres que pour les véhicules automobiles, les bicyclettes ou les voies de communication)")</f>
        <v xml:space="preserve">   Panneaux indicateurs avec dispositifs à cristaux liquides [LCD] ou à diodes émettrices de lumière [LED] (autres que pour les véhicules automobiles, les bicyclettes ou les voies de communication)</v>
      </c>
      <c r="C2684">
        <v>44411</v>
      </c>
      <c r="D2684">
        <v>229</v>
      </c>
    </row>
    <row r="2685" spans="1:4" x14ac:dyDescent="0.25">
      <c r="A2685" t="str">
        <f>T("   853180")</f>
        <v xml:space="preserve">   853180</v>
      </c>
      <c r="B2685" t="s">
        <v>467</v>
      </c>
      <c r="C2685">
        <v>4917012</v>
      </c>
      <c r="D2685">
        <v>7314</v>
      </c>
    </row>
    <row r="2686" spans="1:4" x14ac:dyDescent="0.25">
      <c r="A2686" t="str">
        <f>T("   853229")</f>
        <v xml:space="preserve">   853229</v>
      </c>
      <c r="B2686" t="str">
        <f>T("   Condensateurs fixes (autres que condensateurs au tantale, condensateurs électrolytiques à l'aluminium, condensateurs diélectriques en céramique, en papier et en matières plastiques et condensateurs de puissance)")</f>
        <v xml:space="preserve">   Condensateurs fixes (autres que condensateurs au tantale, condensateurs électrolytiques à l'aluminium, condensateurs diélectriques en céramique, en papier et en matières plastiques et condensateurs de puissance)</v>
      </c>
      <c r="C2686">
        <v>47935</v>
      </c>
      <c r="D2686">
        <v>112</v>
      </c>
    </row>
    <row r="2687" spans="1:4" x14ac:dyDescent="0.25">
      <c r="A2687" t="str">
        <f>T("   853529")</f>
        <v xml:space="preserve">   853529</v>
      </c>
      <c r="B2687" t="str">
        <f>T("   Disjoncteurs, pour une tension &gt;= 72,5 kV")</f>
        <v xml:space="preserve">   Disjoncteurs, pour une tension &gt;= 72,5 kV</v>
      </c>
      <c r="C2687">
        <v>961562</v>
      </c>
      <c r="D2687">
        <v>1550</v>
      </c>
    </row>
    <row r="2688" spans="1:4" x14ac:dyDescent="0.25">
      <c r="A2688" t="str">
        <f>T("   853540")</f>
        <v xml:space="preserve">   853540</v>
      </c>
      <c r="B2688" t="str">
        <f>T("   Parafoudres, limiteurs de tension et étaleurs d'ondes, pour une tension &gt; 1.000 V")</f>
        <v xml:space="preserve">   Parafoudres, limiteurs de tension et étaleurs d'ondes, pour une tension &gt; 1.000 V</v>
      </c>
      <c r="C2688">
        <v>1384363</v>
      </c>
      <c r="D2688">
        <v>4237</v>
      </c>
    </row>
    <row r="2689" spans="1:4" x14ac:dyDescent="0.25">
      <c r="A2689" t="str">
        <f>T("   853590")</f>
        <v xml:space="preserve">   853590</v>
      </c>
      <c r="B2689" t="s">
        <v>468</v>
      </c>
      <c r="C2689">
        <v>33823298</v>
      </c>
      <c r="D2689">
        <v>28600</v>
      </c>
    </row>
    <row r="2690" spans="1:4" x14ac:dyDescent="0.25">
      <c r="A2690" t="str">
        <f>T("   853610")</f>
        <v xml:space="preserve">   853610</v>
      </c>
      <c r="B2690" t="str">
        <f>T("   Fusibles et coupe-circuit à fusibles, pour une tension &lt;= 1.000 V")</f>
        <v xml:space="preserve">   Fusibles et coupe-circuit à fusibles, pour une tension &lt;= 1.000 V</v>
      </c>
      <c r="C2690">
        <v>249921</v>
      </c>
      <c r="D2690">
        <v>486</v>
      </c>
    </row>
    <row r="2691" spans="1:4" x14ac:dyDescent="0.25">
      <c r="A2691" t="str">
        <f>T("   853620")</f>
        <v xml:space="preserve">   853620</v>
      </c>
      <c r="B2691" t="str">
        <f>T("   Disjoncteurs, pour une tension &lt;= 1.000 V")</f>
        <v xml:space="preserve">   Disjoncteurs, pour une tension &lt;= 1.000 V</v>
      </c>
      <c r="C2691">
        <v>4900518</v>
      </c>
      <c r="D2691">
        <v>12633</v>
      </c>
    </row>
    <row r="2692" spans="1:4" x14ac:dyDescent="0.25">
      <c r="A2692" t="str">
        <f>T("   853649")</f>
        <v xml:space="preserve">   853649</v>
      </c>
      <c r="B2692" t="str">
        <f>T("   Relais, pour une tension &gt; 60 V mais &lt;= 1.000 V")</f>
        <v xml:space="preserve">   Relais, pour une tension &gt; 60 V mais &lt;= 1.000 V</v>
      </c>
      <c r="C2692">
        <v>102986</v>
      </c>
      <c r="D2692">
        <v>228</v>
      </c>
    </row>
    <row r="2693" spans="1:4" x14ac:dyDescent="0.25">
      <c r="A2693" t="str">
        <f>T("   853650")</f>
        <v xml:space="preserve">   853650</v>
      </c>
      <c r="B2693" t="str">
        <f>T("   Interrupteurs, sectionneurs et commutateurs, pour une tension &lt;= 1.000 V (autres que relais et disjoncteurs)")</f>
        <v xml:space="preserve">   Interrupteurs, sectionneurs et commutateurs, pour une tension &lt;= 1.000 V (autres que relais et disjoncteurs)</v>
      </c>
      <c r="C2693">
        <v>37127487</v>
      </c>
      <c r="D2693">
        <v>80627</v>
      </c>
    </row>
    <row r="2694" spans="1:4" x14ac:dyDescent="0.25">
      <c r="A2694" t="str">
        <f>T("   853661")</f>
        <v xml:space="preserve">   853661</v>
      </c>
      <c r="B2694" t="str">
        <f>T("   Douilles pour lampes, pour une tension &lt;= 1.000 V")</f>
        <v xml:space="preserve">   Douilles pour lampes, pour une tension &lt;= 1.000 V</v>
      </c>
      <c r="C2694">
        <v>5917242</v>
      </c>
      <c r="D2694">
        <v>15504</v>
      </c>
    </row>
    <row r="2695" spans="1:4" x14ac:dyDescent="0.25">
      <c r="A2695" t="str">
        <f>T("   853669")</f>
        <v xml:space="preserve">   853669</v>
      </c>
      <c r="B2695" t="str">
        <f>T("   Fiches et prises de courant, pour une tension &lt;= 1.000 V (sauf douilles pour lampes)")</f>
        <v xml:space="preserve">   Fiches et prises de courant, pour une tension &lt;= 1.000 V (sauf douilles pour lampes)</v>
      </c>
      <c r="C2695">
        <v>41621972</v>
      </c>
      <c r="D2695">
        <v>95106</v>
      </c>
    </row>
    <row r="2696" spans="1:4" x14ac:dyDescent="0.25">
      <c r="A2696" t="str">
        <f>T("   853690")</f>
        <v xml:space="preserve">   853690</v>
      </c>
      <c r="B2696" t="s">
        <v>469</v>
      </c>
      <c r="C2696">
        <v>32746174</v>
      </c>
      <c r="D2696">
        <v>88028</v>
      </c>
    </row>
    <row r="2697" spans="1:4" x14ac:dyDescent="0.25">
      <c r="A2697" t="str">
        <f>T("   853710")</f>
        <v xml:space="preserve">   853710</v>
      </c>
      <c r="B2697" t="str">
        <f>T("   Tableaux, armoires et combinaisons d'appareils simil., pour la commande ou la distribution électrique, pour une tension &gt;= 1.000 V")</f>
        <v xml:space="preserve">   Tableaux, armoires et combinaisons d'appareils simil., pour la commande ou la distribution électrique, pour une tension &gt;= 1.000 V</v>
      </c>
      <c r="C2697">
        <v>13878358</v>
      </c>
      <c r="D2697">
        <v>3875</v>
      </c>
    </row>
    <row r="2698" spans="1:4" x14ac:dyDescent="0.25">
      <c r="A2698" t="str">
        <f>T("   853720")</f>
        <v xml:space="preserve">   853720</v>
      </c>
      <c r="B2698" t="str">
        <f>T("   Tableaux, armoires et combinaisons d'appareils simil., pour la commande ou la distribution électrique, pour une tension &gt; 1.000 V")</f>
        <v xml:space="preserve">   Tableaux, armoires et combinaisons d'appareils simil., pour la commande ou la distribution électrique, pour une tension &gt; 1.000 V</v>
      </c>
      <c r="C2698">
        <v>19697022</v>
      </c>
      <c r="D2698">
        <v>18858</v>
      </c>
    </row>
    <row r="2699" spans="1:4" x14ac:dyDescent="0.25">
      <c r="A2699" t="str">
        <f>T("   853890")</f>
        <v xml:space="preserve">   853890</v>
      </c>
      <c r="B2699" t="s">
        <v>470</v>
      </c>
      <c r="C2699">
        <v>3839577</v>
      </c>
      <c r="D2699">
        <v>3905</v>
      </c>
    </row>
    <row r="2700" spans="1:4" x14ac:dyDescent="0.25">
      <c r="A2700" t="str">
        <f>T("   853910")</f>
        <v xml:space="preserve">   853910</v>
      </c>
      <c r="B2700" t="str">
        <f>T("   Phares et projecteurs scellés")</f>
        <v xml:space="preserve">   Phares et projecteurs scellés</v>
      </c>
      <c r="C2700">
        <v>360792</v>
      </c>
      <c r="D2700">
        <v>1500</v>
      </c>
    </row>
    <row r="2701" spans="1:4" x14ac:dyDescent="0.25">
      <c r="A2701" t="str">
        <f>T("   853929")</f>
        <v xml:space="preserve">   853929</v>
      </c>
      <c r="B2701" t="str">
        <f>T("   Lampes et tubes à incandescence électriques (autres que lampes et tubes halogènes, au tungstène, lampes d'une puissance &lt;= 200 W et pour une tension &gt; 100 V, et lampes à rayons ultraviolets ou infrarouges)")</f>
        <v xml:space="preserve">   Lampes et tubes à incandescence électriques (autres que lampes et tubes halogènes, au tungstène, lampes d'une puissance &lt;= 200 W et pour une tension &gt; 100 V, et lampes à rayons ultraviolets ou infrarouges)</v>
      </c>
      <c r="C2701">
        <v>32833166</v>
      </c>
      <c r="D2701">
        <v>88594</v>
      </c>
    </row>
    <row r="2702" spans="1:4" x14ac:dyDescent="0.25">
      <c r="A2702" t="str">
        <f>T("   853931")</f>
        <v xml:space="preserve">   853931</v>
      </c>
      <c r="B2702" t="str">
        <f>T("   Lampes et tubes à décharge, fluorescents, à cathode chaude")</f>
        <v xml:space="preserve">   Lampes et tubes à décharge, fluorescents, à cathode chaude</v>
      </c>
      <c r="C2702">
        <v>43114576</v>
      </c>
      <c r="D2702">
        <v>72319</v>
      </c>
    </row>
    <row r="2703" spans="1:4" x14ac:dyDescent="0.25">
      <c r="A2703" t="str">
        <f>T("   853939")</f>
        <v xml:space="preserve">   853939</v>
      </c>
      <c r="B2703" t="str">
        <f>T("   Lampes et tubes à décharge (autres que fluorescents, à cathode chaude, à vapeur de mercure ou de sodium, à halogénure métallique et qu'à rayons ultraviolets)")</f>
        <v xml:space="preserve">   Lampes et tubes à décharge (autres que fluorescents, à cathode chaude, à vapeur de mercure ou de sodium, à halogénure métallique et qu'à rayons ultraviolets)</v>
      </c>
      <c r="C2703">
        <v>32988511</v>
      </c>
      <c r="D2703">
        <v>78411</v>
      </c>
    </row>
    <row r="2704" spans="1:4" x14ac:dyDescent="0.25">
      <c r="A2704" t="str">
        <f>T("   853949")</f>
        <v xml:space="preserve">   853949</v>
      </c>
      <c r="B2704" t="str">
        <f>T("   Lampes et tubes à rayons ultraviolets ou infrarouges")</f>
        <v xml:space="preserve">   Lampes et tubes à rayons ultraviolets ou infrarouges</v>
      </c>
      <c r="C2704">
        <v>436920</v>
      </c>
      <c r="D2704">
        <v>1500</v>
      </c>
    </row>
    <row r="2705" spans="1:4" x14ac:dyDescent="0.25">
      <c r="A2705" t="str">
        <f>T("   854079")</f>
        <v xml:space="preserve">   854079</v>
      </c>
      <c r="B2705" t="str">
        <f>T("   Tubes pour hyperfréquences [tubes à ondes progressives, carcinotrons, par exemple] (sauf magnétrons, klystrons et tubes commandés par grille)")</f>
        <v xml:space="preserve">   Tubes pour hyperfréquences [tubes à ondes progressives, carcinotrons, par exemple] (sauf magnétrons, klystrons et tubes commandés par grille)</v>
      </c>
      <c r="C2705">
        <v>14943659</v>
      </c>
      <c r="D2705">
        <v>4692</v>
      </c>
    </row>
    <row r="2706" spans="1:4" x14ac:dyDescent="0.25">
      <c r="A2706" t="str">
        <f>T("   854089")</f>
        <v xml:space="preserve">   854089</v>
      </c>
      <c r="B2706" t="s">
        <v>471</v>
      </c>
      <c r="C2706">
        <v>929928</v>
      </c>
      <c r="D2706">
        <v>1050</v>
      </c>
    </row>
    <row r="2707" spans="1:4" x14ac:dyDescent="0.25">
      <c r="A2707" t="str">
        <f>T("   854140")</f>
        <v xml:space="preserve">   854140</v>
      </c>
      <c r="B2707" t="str">
        <f>T("   Dispositifs photosensibles à semi-conducteur, y.c. les cellules photovoltaïques même assemblées en modules ou constituées en panneaux; diodes émettrices de lumière (sauf génératrices photovoltaïques)")</f>
        <v xml:space="preserve">   Dispositifs photosensibles à semi-conducteur, y.c. les cellules photovoltaïques même assemblées en modules ou constituées en panneaux; diodes émettrices de lumière (sauf génératrices photovoltaïques)</v>
      </c>
      <c r="C2707">
        <v>58894</v>
      </c>
      <c r="D2707">
        <v>1500</v>
      </c>
    </row>
    <row r="2708" spans="1:4" x14ac:dyDescent="0.25">
      <c r="A2708" t="str">
        <f>T("   854210")</f>
        <v xml:space="preserve">   854210</v>
      </c>
      <c r="B2708" t="str">
        <f>T("   Cartes munies d'un circuit intégré électronique [cartes intelligentes], munies ou non d'une piste magnétique")</f>
        <v xml:space="preserve">   Cartes munies d'un circuit intégré électronique [cartes intelligentes], munies ou non d'une piste magnétique</v>
      </c>
      <c r="C2708">
        <v>206216</v>
      </c>
      <c r="D2708">
        <v>1</v>
      </c>
    </row>
    <row r="2709" spans="1:4" x14ac:dyDescent="0.25">
      <c r="A2709" t="str">
        <f>T("   854319")</f>
        <v xml:space="preserve">   854319</v>
      </c>
      <c r="B2709" t="str">
        <f>T("   Accélérateurs de particules pour électrons, protons etc., électriques (à l'excl. des appareils d'implantation ionique pour doper les matières semi-conductrices)")</f>
        <v xml:space="preserve">   Accélérateurs de particules pour électrons, protons etc., électriques (à l'excl. des appareils d'implantation ionique pour doper les matières semi-conductrices)</v>
      </c>
      <c r="C2709">
        <v>881877</v>
      </c>
      <c r="D2709">
        <v>504</v>
      </c>
    </row>
    <row r="2710" spans="1:4" x14ac:dyDescent="0.25">
      <c r="A2710" t="str">
        <f>T("   854389")</f>
        <v xml:space="preserve">   854389</v>
      </c>
      <c r="B2710" t="str">
        <f>T("   MACHINES ET APPAREILS ÉLECTRIQUES AYANT UNE FONCTION PROPRE, N.D.A. DANS LE CHAPITRE 85")</f>
        <v xml:space="preserve">   MACHINES ET APPAREILS ÉLECTRIQUES AYANT UNE FONCTION PROPRE, N.D.A. DANS LE CHAPITRE 85</v>
      </c>
      <c r="C2710">
        <v>12255466</v>
      </c>
      <c r="D2710">
        <v>30991</v>
      </c>
    </row>
    <row r="2711" spans="1:4" x14ac:dyDescent="0.25">
      <c r="A2711" t="str">
        <f>T("   854420")</f>
        <v xml:space="preserve">   854420</v>
      </c>
      <c r="B2711" t="str">
        <f>T("   Câbles coaxiaux et autres conducteurs électriques coaxiaux, isolés")</f>
        <v xml:space="preserve">   Câbles coaxiaux et autres conducteurs électriques coaxiaux, isolés</v>
      </c>
      <c r="C2711">
        <v>17980884</v>
      </c>
      <c r="D2711">
        <v>55831</v>
      </c>
    </row>
    <row r="2712" spans="1:4" x14ac:dyDescent="0.25">
      <c r="A2712" t="str">
        <f>T("   854449")</f>
        <v xml:space="preserve">   854449</v>
      </c>
      <c r="B2712" t="str">
        <f>T("   CONDUCTEURS ÉLECTRIQUES, POUR TENSION &lt;= 1.000 V, ISOLÉS, SANS PIÈCES DE CONNEXION, N.D.A.")</f>
        <v xml:space="preserve">   CONDUCTEURS ÉLECTRIQUES, POUR TENSION &lt;= 1.000 V, ISOLÉS, SANS PIÈCES DE CONNEXION, N.D.A.</v>
      </c>
      <c r="C2712">
        <v>59350265</v>
      </c>
      <c r="D2712">
        <v>128422</v>
      </c>
    </row>
    <row r="2713" spans="1:4" x14ac:dyDescent="0.25">
      <c r="A2713" t="str">
        <f>T("   854451")</f>
        <v xml:space="preserve">   854451</v>
      </c>
      <c r="B2713" t="str">
        <f>T("   Conducteurs électriques, pour tension &gt; 80 V mais &lt;= 1.000 V, avec pièces de connexion, n.d.a.")</f>
        <v xml:space="preserve">   Conducteurs électriques, pour tension &gt; 80 V mais &lt;= 1.000 V, avec pièces de connexion, n.d.a.</v>
      </c>
      <c r="C2713">
        <v>266428</v>
      </c>
      <c r="D2713">
        <v>166</v>
      </c>
    </row>
    <row r="2714" spans="1:4" x14ac:dyDescent="0.25">
      <c r="A2714" t="str">
        <f>T("   854459")</f>
        <v xml:space="preserve">   854459</v>
      </c>
      <c r="B2714" t="str">
        <f>T("   Conducteurs électriques, pour tension &gt; 80 V mais &lt;= 1.000 V, sans pièces de connexion, n.d.a.")</f>
        <v xml:space="preserve">   Conducteurs électriques, pour tension &gt; 80 V mais &lt;= 1.000 V, sans pièces de connexion, n.d.a.</v>
      </c>
      <c r="C2714">
        <v>7585032</v>
      </c>
      <c r="D2714">
        <v>45078</v>
      </c>
    </row>
    <row r="2715" spans="1:4" x14ac:dyDescent="0.25">
      <c r="A2715" t="str">
        <f>T("   854460")</f>
        <v xml:space="preserve">   854460</v>
      </c>
      <c r="B2715" t="str">
        <f>T("   Conducteurs électriques, pour tension &gt; 1.000 V, n.d.a.")</f>
        <v xml:space="preserve">   Conducteurs électriques, pour tension &gt; 1.000 V, n.d.a.</v>
      </c>
      <c r="C2715">
        <v>11162800</v>
      </c>
      <c r="D2715">
        <v>7910</v>
      </c>
    </row>
    <row r="2716" spans="1:4" x14ac:dyDescent="0.25">
      <c r="A2716" t="str">
        <f>T("   854790")</f>
        <v xml:space="preserve">   854790</v>
      </c>
      <c r="B2716" t="str">
        <f>T("   Pièces isolantes, pour usages électriques (autres qu'en céramique ou en matières plastiques, et que tubes isolateurs et leurs pièces de raccordement, en métaux communs, isolés intérieurement)")</f>
        <v xml:space="preserve">   Pièces isolantes, pour usages électriques (autres qu'en céramique ou en matières plastiques, et que tubes isolateurs et leurs pièces de raccordement, en métaux communs, isolés intérieurement)</v>
      </c>
      <c r="C2716">
        <v>2533128</v>
      </c>
      <c r="D2716">
        <v>5621</v>
      </c>
    </row>
    <row r="2717" spans="1:4" x14ac:dyDescent="0.25">
      <c r="A2717" t="str">
        <f>T("   870110")</f>
        <v xml:space="preserve">   870110</v>
      </c>
      <c r="B2717" t="str">
        <f>T("   Motoculteurs et tracteurs de construction similaire pour l'industrie (sauf tracteurs pour véhicules automobiles articulés)")</f>
        <v xml:space="preserve">   Motoculteurs et tracteurs de construction similaire pour l'industrie (sauf tracteurs pour véhicules automobiles articulés)</v>
      </c>
      <c r="C2717">
        <v>10594410</v>
      </c>
      <c r="D2717">
        <v>7327</v>
      </c>
    </row>
    <row r="2718" spans="1:4" x14ac:dyDescent="0.25">
      <c r="A2718" t="str">
        <f>T("   870120")</f>
        <v xml:space="preserve">   870120</v>
      </c>
      <c r="B2718" t="str">
        <f>T("   Tracteurs routiers pour semi-remorques")</f>
        <v xml:space="preserve">   Tracteurs routiers pour semi-remorques</v>
      </c>
      <c r="C2718">
        <v>210466647</v>
      </c>
      <c r="D2718">
        <v>132241</v>
      </c>
    </row>
    <row r="2719" spans="1:4" x14ac:dyDescent="0.25">
      <c r="A2719" t="str">
        <f>T("   870190")</f>
        <v xml:space="preserve">   870190</v>
      </c>
      <c r="B2719" t="str">
        <f>T("   Tracteurs (à l'excl. des chariots-tracteurs du n° 8709, ainsi que des motoculteurs, tracteurs routiers pour semi-remorques et tracteurs à chenilles)")</f>
        <v xml:space="preserve">   Tracteurs (à l'excl. des chariots-tracteurs du n° 8709, ainsi que des motoculteurs, tracteurs routiers pour semi-remorques et tracteurs à chenilles)</v>
      </c>
      <c r="C2719">
        <v>37648170</v>
      </c>
      <c r="D2719">
        <v>11200</v>
      </c>
    </row>
    <row r="2720" spans="1:4" x14ac:dyDescent="0.25">
      <c r="A2720" t="str">
        <f>T("   870210")</f>
        <v xml:space="preserve">   870210</v>
      </c>
      <c r="B2720" t="s">
        <v>472</v>
      </c>
      <c r="C2720">
        <v>25017700</v>
      </c>
      <c r="D2720">
        <v>3235</v>
      </c>
    </row>
    <row r="2721" spans="1:4" x14ac:dyDescent="0.25">
      <c r="A2721" t="str">
        <f>T("   870290")</f>
        <v xml:space="preserve">   870290</v>
      </c>
      <c r="B2721" t="s">
        <v>473</v>
      </c>
      <c r="C2721">
        <v>231121300</v>
      </c>
      <c r="D2721">
        <v>58786</v>
      </c>
    </row>
    <row r="2722" spans="1:4" x14ac:dyDescent="0.25">
      <c r="A2722" t="str">
        <f>T("   870321")</f>
        <v xml:space="preserve">   870321</v>
      </c>
      <c r="B2722" t="s">
        <v>474</v>
      </c>
      <c r="C2722">
        <v>6540807</v>
      </c>
      <c r="D2722">
        <v>1000</v>
      </c>
    </row>
    <row r="2723" spans="1:4" x14ac:dyDescent="0.25">
      <c r="A2723" t="str">
        <f>T("   870322")</f>
        <v xml:space="preserve">   870322</v>
      </c>
      <c r="B2723" t="s">
        <v>475</v>
      </c>
      <c r="C2723">
        <v>32730325</v>
      </c>
      <c r="D2723">
        <v>15477</v>
      </c>
    </row>
    <row r="2724" spans="1:4" x14ac:dyDescent="0.25">
      <c r="A2724" t="str">
        <f>T("   870323")</f>
        <v xml:space="preserve">   870323</v>
      </c>
      <c r="B2724" t="s">
        <v>476</v>
      </c>
      <c r="C2724">
        <v>97905119</v>
      </c>
      <c r="D2724">
        <v>24657</v>
      </c>
    </row>
    <row r="2725" spans="1:4" x14ac:dyDescent="0.25">
      <c r="A2725" t="str">
        <f>T("   870324")</f>
        <v xml:space="preserve">   870324</v>
      </c>
      <c r="B2725" t="s">
        <v>477</v>
      </c>
      <c r="C2725">
        <v>4266215</v>
      </c>
      <c r="D2725">
        <v>1780</v>
      </c>
    </row>
    <row r="2726" spans="1:4" x14ac:dyDescent="0.25">
      <c r="A2726" t="str">
        <f>T("   870331")</f>
        <v xml:space="preserve">   870331</v>
      </c>
      <c r="B2726" t="s">
        <v>478</v>
      </c>
      <c r="C2726">
        <v>31100228</v>
      </c>
      <c r="D2726">
        <v>4095</v>
      </c>
    </row>
    <row r="2727" spans="1:4" x14ac:dyDescent="0.25">
      <c r="A2727" t="str">
        <f>T("   870333")</f>
        <v xml:space="preserve">   870333</v>
      </c>
      <c r="B2727" t="s">
        <v>480</v>
      </c>
      <c r="C2727">
        <v>58202936</v>
      </c>
      <c r="D2727">
        <v>14880</v>
      </c>
    </row>
    <row r="2728" spans="1:4" x14ac:dyDescent="0.25">
      <c r="A2728" t="str">
        <f>T("   870421")</f>
        <v xml:space="preserve">   870421</v>
      </c>
      <c r="B2728" t="s">
        <v>481</v>
      </c>
      <c r="C2728">
        <v>165229438</v>
      </c>
      <c r="D2728">
        <v>38948</v>
      </c>
    </row>
    <row r="2729" spans="1:4" x14ac:dyDescent="0.25">
      <c r="A2729" t="str">
        <f>T("   870422")</f>
        <v xml:space="preserve">   870422</v>
      </c>
      <c r="B2729" t="s">
        <v>482</v>
      </c>
      <c r="C2729">
        <v>153642132</v>
      </c>
      <c r="D2729">
        <v>117756</v>
      </c>
    </row>
    <row r="2730" spans="1:4" x14ac:dyDescent="0.25">
      <c r="A2730" t="str">
        <f>T("   870423")</f>
        <v xml:space="preserve">   870423</v>
      </c>
      <c r="B2730" t="s">
        <v>483</v>
      </c>
      <c r="C2730">
        <v>27561726</v>
      </c>
      <c r="D2730">
        <v>12010</v>
      </c>
    </row>
    <row r="2731" spans="1:4" x14ac:dyDescent="0.25">
      <c r="A2731" t="str">
        <f>T("   870431")</f>
        <v xml:space="preserve">   870431</v>
      </c>
      <c r="B2731" t="s">
        <v>484</v>
      </c>
      <c r="C2731">
        <v>17235509</v>
      </c>
      <c r="D2731">
        <v>7069</v>
      </c>
    </row>
    <row r="2732" spans="1:4" x14ac:dyDescent="0.25">
      <c r="A2732" t="str">
        <f>T("   870432")</f>
        <v xml:space="preserve">   870432</v>
      </c>
      <c r="B2732" t="s">
        <v>485</v>
      </c>
      <c r="C2732">
        <v>17265137</v>
      </c>
      <c r="D2732">
        <v>9040</v>
      </c>
    </row>
    <row r="2733" spans="1:4" x14ac:dyDescent="0.25">
      <c r="A2733" t="str">
        <f>T("   870590")</f>
        <v xml:space="preserve">   870590</v>
      </c>
      <c r="B2733" t="s">
        <v>486</v>
      </c>
      <c r="C2733">
        <v>44079559</v>
      </c>
      <c r="D2733">
        <v>7100</v>
      </c>
    </row>
    <row r="2734" spans="1:4" x14ac:dyDescent="0.25">
      <c r="A2734" t="str">
        <f>T("   870790")</f>
        <v xml:space="preserve">   870790</v>
      </c>
      <c r="B2734" t="str">
        <f>T("   CARROSSERIES DE TRACTEURS, VÉHICULES POUR LE TRANSPORT DE &gt;= 10 PERSONNES, CHAUFFEUR INCLUS, VÉHICULES POUR LE TRANSPORT DE MARCHANDISES ET VÉHICULES À USAGES SPÉCIAUX")</f>
        <v xml:space="preserve">   CARROSSERIES DE TRACTEURS, VÉHICULES POUR LE TRANSPORT DE &gt;= 10 PERSONNES, CHAUFFEUR INCLUS, VÉHICULES POUR LE TRANSPORT DE MARCHANDISES ET VÉHICULES À USAGES SPÉCIAUX</v>
      </c>
      <c r="C2734">
        <v>11459601</v>
      </c>
      <c r="D2734">
        <v>17780</v>
      </c>
    </row>
    <row r="2735" spans="1:4" x14ac:dyDescent="0.25">
      <c r="A2735" t="str">
        <f>T("   870829")</f>
        <v xml:space="preserve">   870829</v>
      </c>
      <c r="B2735" t="s">
        <v>488</v>
      </c>
      <c r="C2735">
        <v>21682438</v>
      </c>
      <c r="D2735">
        <v>27112</v>
      </c>
    </row>
    <row r="2736" spans="1:4" x14ac:dyDescent="0.25">
      <c r="A2736" t="str">
        <f>T("   870839")</f>
        <v xml:space="preserve">   870839</v>
      </c>
      <c r="B2736" t="str">
        <f>T("   FREINS ET SERVO-FREINS, ET LEURS PARTIES, POUR DE TRACTEURS, VÉHICULES POUR LE TRANSPORT DE &gt;= 10 PERSONNES, CHAUFFEUR INCLUS, VOITURES DE TOURISME, VÉHICULES POUR LE TRANSPORT DE MARCHANDISES ET VÉHICULES À USAGES SPÉCIAUX, N.D.A.")</f>
        <v xml:space="preserve">   FREINS ET SERVO-FREINS, ET LEURS PARTIES, POUR DE TRACTEURS, VÉHICULES POUR LE TRANSPORT DE &gt;= 10 PERSONNES, CHAUFFEUR INCLUS, VOITURES DE TOURISME, VÉHICULES POUR LE TRANSPORT DE MARCHANDISES ET VÉHICULES À USAGES SPÉCIAUX, N.D.A.</v>
      </c>
      <c r="C2736">
        <v>1465155</v>
      </c>
      <c r="D2736">
        <v>5125</v>
      </c>
    </row>
    <row r="2737" spans="1:4" x14ac:dyDescent="0.25">
      <c r="A2737" t="str">
        <f>T("   870840")</f>
        <v xml:space="preserve">   870840</v>
      </c>
      <c r="B2737" t="str">
        <f>T("   BOÎTES DE VITESSE ET LEURS PARTIES, POUR TRACTEURS, VÉHICULES POUR LE TRANSPORT DE &gt;= 10 PERSONNES, CHAUFFEUR INCLUS, VOITURES DE TOURISME, VÉHICULES POUR LE TRANSPORT DE MARCHANDISES ET VÉHICULES À USAGES SPÉCIAUX, N.D.A.")</f>
        <v xml:space="preserve">   BOÎTES DE VITESSE ET LEURS PARTIES, POUR TRACTEURS, VÉHICULES POUR LE TRANSPORT DE &gt;= 10 PERSONNES, CHAUFFEUR INCLUS, VOITURES DE TOURISME, VÉHICULES POUR LE TRANSPORT DE MARCHANDISES ET VÉHICULES À USAGES SPÉCIAUX, N.D.A.</v>
      </c>
      <c r="C2737">
        <v>21429577</v>
      </c>
      <c r="D2737">
        <v>3300</v>
      </c>
    </row>
    <row r="2738" spans="1:4" x14ac:dyDescent="0.25">
      <c r="A2738" t="str">
        <f>T("   870880")</f>
        <v xml:space="preserve">   870880</v>
      </c>
      <c r="B2738" t="s">
        <v>490</v>
      </c>
      <c r="C2738">
        <v>546140</v>
      </c>
      <c r="D2738">
        <v>3104</v>
      </c>
    </row>
    <row r="2739" spans="1:4" x14ac:dyDescent="0.25">
      <c r="A2739" t="str">
        <f>T("   870893")</f>
        <v xml:space="preserve">   870893</v>
      </c>
      <c r="B2739" t="str">
        <f>T("   EMBRAYAGES ET LEURS PARTIES, POUR TRACTEURS, VÉHICULES POUR LE TRANSPORT DE &gt;= 10 PERSONNES, CHAUFFEUR INCLUS, VOITURES DE TOURISME, VÉHICULES POUR LE TRANSPORT DE MARCHANDISES ET VÉHICULES À USAGES SPÉCIAUX, N.D.A.")</f>
        <v xml:space="preserve">   EMBRAYAGES ET LEURS PARTIES, POUR TRACTEURS, VÉHICULES POUR LE TRANSPORT DE &gt;= 10 PERSONNES, CHAUFFEUR INCLUS, VOITURES DE TOURISME, VÉHICULES POUR LE TRANSPORT DE MARCHANDISES ET VÉHICULES À USAGES SPÉCIAUX, N.D.A.</v>
      </c>
      <c r="C2739">
        <v>145070</v>
      </c>
      <c r="D2739">
        <v>3520</v>
      </c>
    </row>
    <row r="2740" spans="1:4" x14ac:dyDescent="0.25">
      <c r="A2740" t="str">
        <f>T("   870899")</f>
        <v xml:space="preserve">   870899</v>
      </c>
      <c r="B2740"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2740">
        <v>191045809</v>
      </c>
      <c r="D2740">
        <v>94218</v>
      </c>
    </row>
    <row r="2741" spans="1:4" x14ac:dyDescent="0.25">
      <c r="A2741" t="str">
        <f>T("   871110")</f>
        <v xml:space="preserve">   871110</v>
      </c>
      <c r="B2741" t="str">
        <f>T("   Cyclomoteurs, à moteur à piston alternatif, cylindrée &lt;= 50 cm³, y.c. cycles à moteur auxiliaire")</f>
        <v xml:space="preserve">   Cyclomoteurs, à moteur à piston alternatif, cylindrée &lt;= 50 cm³, y.c. cycles à moteur auxiliaire</v>
      </c>
      <c r="C2741">
        <v>41100445</v>
      </c>
      <c r="D2741">
        <v>25115</v>
      </c>
    </row>
    <row r="2742" spans="1:4" x14ac:dyDescent="0.25">
      <c r="A2742" t="str">
        <f>T("   871120")</f>
        <v xml:space="preserve">   871120</v>
      </c>
      <c r="B2742" t="str">
        <f>T("   Motocycles à moteur à piston alternatif, cylindrée &gt; 50 cm³ mais &lt;= 250 cm³")</f>
        <v xml:space="preserve">   Motocycles à moteur à piston alternatif, cylindrée &gt; 50 cm³ mais &lt;= 250 cm³</v>
      </c>
      <c r="C2742">
        <v>16360523774</v>
      </c>
      <c r="D2742">
        <v>9441811.5999999996</v>
      </c>
    </row>
    <row r="2743" spans="1:4" x14ac:dyDescent="0.25">
      <c r="A2743" t="str">
        <f>T("   871130")</f>
        <v xml:space="preserve">   871130</v>
      </c>
      <c r="B2743" t="str">
        <f>T("   Motocycles à moteur à piston alternatif, cylindrée &gt; 250 cm³ mais &lt;= 500 cm³")</f>
        <v xml:space="preserve">   Motocycles à moteur à piston alternatif, cylindrée &gt; 250 cm³ mais &lt;= 500 cm³</v>
      </c>
      <c r="C2743">
        <v>31915410</v>
      </c>
      <c r="D2743">
        <v>22941</v>
      </c>
    </row>
    <row r="2744" spans="1:4" x14ac:dyDescent="0.25">
      <c r="A2744" t="str">
        <f>T("   871190")</f>
        <v xml:space="preserve">   871190</v>
      </c>
      <c r="B2744" t="str">
        <f>T("   Side-cars")</f>
        <v xml:space="preserve">   Side-cars</v>
      </c>
      <c r="C2744">
        <v>360389</v>
      </c>
      <c r="D2744">
        <v>350</v>
      </c>
    </row>
    <row r="2745" spans="1:4" x14ac:dyDescent="0.25">
      <c r="A2745" t="str">
        <f>T("   871200")</f>
        <v xml:space="preserve">   871200</v>
      </c>
      <c r="B2745" t="str">
        <f>T("   BICYCLETTES ET AUTRES CYCLES, -Y.C. LES TRIPORTEURS-, SANS MOTEUR")</f>
        <v xml:space="preserve">   BICYCLETTES ET AUTRES CYCLES, -Y.C. LES TRIPORTEURS-, SANS MOTEUR</v>
      </c>
      <c r="C2745">
        <v>12015633</v>
      </c>
      <c r="D2745">
        <v>26552</v>
      </c>
    </row>
    <row r="2746" spans="1:4" x14ac:dyDescent="0.25">
      <c r="A2746" t="str">
        <f>T("   871411")</f>
        <v xml:space="preserve">   871411</v>
      </c>
      <c r="B2746" t="str">
        <f>T("   Selles de motocycles, y.c. de cyclomoteurs")</f>
        <v xml:space="preserve">   Selles de motocycles, y.c. de cyclomoteurs</v>
      </c>
      <c r="C2746">
        <v>14331253</v>
      </c>
      <c r="D2746">
        <v>40735</v>
      </c>
    </row>
    <row r="2747" spans="1:4" x14ac:dyDescent="0.25">
      <c r="A2747" t="str">
        <f>T("   871419")</f>
        <v xml:space="preserve">   871419</v>
      </c>
      <c r="B2747" t="str">
        <f>T("   Parties et accessoires de motocycles, y.c. de cyclomoteurs, n.d.a.")</f>
        <v xml:space="preserve">   Parties et accessoires de motocycles, y.c. de cyclomoteurs, n.d.a.</v>
      </c>
      <c r="C2747">
        <v>622310215</v>
      </c>
      <c r="D2747">
        <v>841136</v>
      </c>
    </row>
    <row r="2748" spans="1:4" x14ac:dyDescent="0.25">
      <c r="A2748" t="str">
        <f>T("   871499")</f>
        <v xml:space="preserve">   871499</v>
      </c>
      <c r="B2748" t="str">
        <f>T("   Parties et accessoires, de bicyclettes, n.d.a.")</f>
        <v xml:space="preserve">   Parties et accessoires, de bicyclettes, n.d.a.</v>
      </c>
      <c r="C2748">
        <v>12543175</v>
      </c>
      <c r="D2748">
        <v>29457</v>
      </c>
    </row>
    <row r="2749" spans="1:4" x14ac:dyDescent="0.25">
      <c r="A2749" t="str">
        <f>T("   871500")</f>
        <v xml:space="preserve">   871500</v>
      </c>
      <c r="B2749" t="str">
        <f>T("   Landaus, poussettes et voitures simil., pour le transport des enfants, et leurs parties, n.d.a.")</f>
        <v xml:space="preserve">   Landaus, poussettes et voitures simil., pour le transport des enfants, et leurs parties, n.d.a.</v>
      </c>
      <c r="C2749">
        <v>122849</v>
      </c>
      <c r="D2749">
        <v>143</v>
      </c>
    </row>
    <row r="2750" spans="1:4" x14ac:dyDescent="0.25">
      <c r="A2750" t="str">
        <f>T("   871631")</f>
        <v xml:space="preserve">   871631</v>
      </c>
      <c r="B2750" t="str">
        <f>T("   Remorques-citernes ne circulant pas sur rails")</f>
        <v xml:space="preserve">   Remorques-citernes ne circulant pas sur rails</v>
      </c>
      <c r="C2750">
        <v>13611170</v>
      </c>
      <c r="D2750">
        <v>9860</v>
      </c>
    </row>
    <row r="2751" spans="1:4" x14ac:dyDescent="0.25">
      <c r="A2751" t="str">
        <f>T("   871640")</f>
        <v xml:space="preserve">   871640</v>
      </c>
      <c r="B2751" t="str">
        <f>T("   Remorques ne circulant pas sur rails (à l'excl. des remorques pour le transport de marchandises et remorques pour l'habitation ou le camping, du type caravane)")</f>
        <v xml:space="preserve">   Remorques ne circulant pas sur rails (à l'excl. des remorques pour le transport de marchandises et remorques pour l'habitation ou le camping, du type caravane)</v>
      </c>
      <c r="C2751">
        <v>117619180</v>
      </c>
      <c r="D2751">
        <v>128817</v>
      </c>
    </row>
    <row r="2752" spans="1:4" x14ac:dyDescent="0.25">
      <c r="A2752" t="str">
        <f>T("   871680")</f>
        <v xml:space="preserve">   871680</v>
      </c>
      <c r="B2752" t="str">
        <f>T("   Véhicules dirigés à la main et autres véhicules non automobiles, autres que remorques et semi-remorques")</f>
        <v xml:space="preserve">   Véhicules dirigés à la main et autres véhicules non automobiles, autres que remorques et semi-remorques</v>
      </c>
      <c r="C2752">
        <v>10323424</v>
      </c>
      <c r="D2752">
        <v>25793</v>
      </c>
    </row>
    <row r="2753" spans="1:4" x14ac:dyDescent="0.25">
      <c r="A2753" t="str">
        <f>T("   871690")</f>
        <v xml:space="preserve">   871690</v>
      </c>
      <c r="B2753" t="str">
        <f>T("   PARTIES DE REMORQUES, SEMI-REMORQUES ET AUTRES VÉHICULES NON-AUTOMOBILES, N.D.A.")</f>
        <v xml:space="preserve">   PARTIES DE REMORQUES, SEMI-REMORQUES ET AUTRES VÉHICULES NON-AUTOMOBILES, N.D.A.</v>
      </c>
      <c r="C2753">
        <v>8923522</v>
      </c>
      <c r="D2753">
        <v>8000</v>
      </c>
    </row>
    <row r="2754" spans="1:4" x14ac:dyDescent="0.25">
      <c r="A2754" t="str">
        <f>T("   900490")</f>
        <v xml:space="preserve">   900490</v>
      </c>
      <c r="B2754" t="str">
        <f>T("   Lunettes correctrices, protectrices ou autres et articles simil. (à l'excl. des lunettes pour tests visuels, des lunettes solaires, des verres de contact, des verres de lunetterie et des montures de lunettes)")</f>
        <v xml:space="preserve">   Lunettes correctrices, protectrices ou autres et articles simil. (à l'excl. des lunettes pour tests visuels, des lunettes solaires, des verres de contact, des verres de lunetterie et des montures de lunettes)</v>
      </c>
      <c r="C2754">
        <v>641339</v>
      </c>
      <c r="D2754">
        <v>2060</v>
      </c>
    </row>
    <row r="2755" spans="1:4" x14ac:dyDescent="0.25">
      <c r="A2755" t="str">
        <f>T("   900669")</f>
        <v xml:space="preserve">   900669</v>
      </c>
      <c r="B2755" t="str">
        <f>T("   Appareils et dispositifs pour la production de lumière-éclair en photographie (à l'excl. des appareils à tube à décharge, dits 'flashes électroniques', des lampes-éclair, cubes-éclairs et simil.)")</f>
        <v xml:space="preserve">   Appareils et dispositifs pour la production de lumière-éclair en photographie (à l'excl. des appareils à tube à décharge, dits 'flashes électroniques', des lampes-éclair, cubes-éclairs et simil.)</v>
      </c>
      <c r="C2755">
        <v>328000</v>
      </c>
      <c r="D2755">
        <v>25</v>
      </c>
    </row>
    <row r="2756" spans="1:4" x14ac:dyDescent="0.25">
      <c r="A2756" t="str">
        <f>T("   900719")</f>
        <v xml:space="preserve">   900719</v>
      </c>
      <c r="B2756" t="str">
        <f>T("   Caméras cinématographiques, pour films d'une largeur &gt;= 16 mm (à l'excl. des films double-8 mm)")</f>
        <v xml:space="preserve">   Caméras cinématographiques, pour films d'une largeur &gt;= 16 mm (à l'excl. des films double-8 mm)</v>
      </c>
      <c r="C2756">
        <v>700172</v>
      </c>
      <c r="D2756">
        <v>150</v>
      </c>
    </row>
    <row r="2757" spans="1:4" x14ac:dyDescent="0.25">
      <c r="A2757" t="str">
        <f>T("   900911")</f>
        <v xml:space="preserve">   900911</v>
      </c>
      <c r="B2757" t="str">
        <f>T("   Appareils de photocopie électrostatiques, fonctionnant par reproduction directe de l'image de l'original sur la copie [procédé direct]")</f>
        <v xml:space="preserve">   Appareils de photocopie électrostatiques, fonctionnant par reproduction directe de l'image de l'original sur la copie [procédé direct]</v>
      </c>
      <c r="C2757">
        <v>1330913</v>
      </c>
      <c r="D2757">
        <v>1595</v>
      </c>
    </row>
    <row r="2758" spans="1:4" x14ac:dyDescent="0.25">
      <c r="A2758" t="str">
        <f>T("   900922")</f>
        <v xml:space="preserve">   900922</v>
      </c>
      <c r="B2758" t="str">
        <f>T("   APPAREILS DE PHOTOCOPIE PAR CONTACT")</f>
        <v xml:space="preserve">   APPAREILS DE PHOTOCOPIE PAR CONTACT</v>
      </c>
      <c r="C2758">
        <v>568988</v>
      </c>
      <c r="D2758">
        <v>306</v>
      </c>
    </row>
    <row r="2759" spans="1:4" x14ac:dyDescent="0.25">
      <c r="A2759" t="str">
        <f>T("   900999")</f>
        <v xml:space="preserve">   900999</v>
      </c>
      <c r="B2759" t="str">
        <f>T("   Parties et accessoires d'appareils de photocopie et de thermocopie, n.d.a. (à l'excl. des dispositifs automatiques d'alimentation en documents, des dispositifs d'alimentation en papier et des dispositifs de tri)")</f>
        <v xml:space="preserve">   Parties et accessoires d'appareils de photocopie et de thermocopie, n.d.a. (à l'excl. des dispositifs automatiques d'alimentation en documents, des dispositifs d'alimentation en papier et des dispositifs de tri)</v>
      </c>
      <c r="C2759">
        <v>456125</v>
      </c>
      <c r="D2759">
        <v>150</v>
      </c>
    </row>
    <row r="2760" spans="1:4" x14ac:dyDescent="0.25">
      <c r="A2760" t="str">
        <f>T("   901530")</f>
        <v xml:space="preserve">   901530</v>
      </c>
      <c r="B2760" t="str">
        <f>T("   Niveaux")</f>
        <v xml:space="preserve">   Niveaux</v>
      </c>
      <c r="C2760">
        <v>1816737</v>
      </c>
      <c r="D2760">
        <v>4633</v>
      </c>
    </row>
    <row r="2761" spans="1:4" x14ac:dyDescent="0.25">
      <c r="A2761" t="str">
        <f>T("   901580")</f>
        <v xml:space="preserve">   901580</v>
      </c>
      <c r="B2761" t="s">
        <v>496</v>
      </c>
      <c r="C2761">
        <v>17713819</v>
      </c>
      <c r="D2761">
        <v>3741</v>
      </c>
    </row>
    <row r="2762" spans="1:4" x14ac:dyDescent="0.25">
      <c r="A2762" t="str">
        <f>T("   901600")</f>
        <v xml:space="preserve">   901600</v>
      </c>
      <c r="B2762" t="str">
        <f>T("   Balances sensibles à un poids de 5 cg ou moins, avec ou sans poids")</f>
        <v xml:space="preserve">   Balances sensibles à un poids de 5 cg ou moins, avec ou sans poids</v>
      </c>
      <c r="C2762">
        <v>454242</v>
      </c>
      <c r="D2762">
        <v>1298</v>
      </c>
    </row>
    <row r="2763" spans="1:4" x14ac:dyDescent="0.25">
      <c r="A2763" t="str">
        <f>T("   901720")</f>
        <v xml:space="preserve">   901720</v>
      </c>
      <c r="B2763" t="str">
        <f>T("   Instruments de dessin, de traçage et de calcul (sauf tables et machines à dessiner ainsi que calculatrices)")</f>
        <v xml:space="preserve">   Instruments de dessin, de traçage et de calcul (sauf tables et machines à dessiner ainsi que calculatrices)</v>
      </c>
      <c r="C2763">
        <v>34922293</v>
      </c>
      <c r="D2763">
        <v>56585</v>
      </c>
    </row>
    <row r="2764" spans="1:4" x14ac:dyDescent="0.25">
      <c r="A2764" t="str">
        <f>T("   901780")</f>
        <v xml:space="preserve">   901780</v>
      </c>
      <c r="B2764" t="str">
        <f>T("   Instruments de mesure de longueurs, pour emploi à la main, n.d.a.")</f>
        <v xml:space="preserve">   Instruments de mesure de longueurs, pour emploi à la main, n.d.a.</v>
      </c>
      <c r="C2764">
        <v>5040392</v>
      </c>
      <c r="D2764">
        <v>9096</v>
      </c>
    </row>
    <row r="2765" spans="1:4" x14ac:dyDescent="0.25">
      <c r="A2765" t="str">
        <f>T("   901812")</f>
        <v xml:space="preserve">   901812</v>
      </c>
      <c r="B2765" t="str">
        <f>T("   Appareils de diagnostic par balayage ultrasonique [scanners]")</f>
        <v xml:space="preserve">   Appareils de diagnostic par balayage ultrasonique [scanners]</v>
      </c>
      <c r="C2765">
        <v>10554951</v>
      </c>
      <c r="D2765">
        <v>214</v>
      </c>
    </row>
    <row r="2766" spans="1:4" x14ac:dyDescent="0.25">
      <c r="A2766" t="str">
        <f>T("   901819")</f>
        <v xml:space="preserve">   901819</v>
      </c>
      <c r="B2766" t="s">
        <v>497</v>
      </c>
      <c r="C2766">
        <v>698341</v>
      </c>
      <c r="D2766">
        <v>900</v>
      </c>
    </row>
    <row r="2767" spans="1:4" x14ac:dyDescent="0.25">
      <c r="A2767" t="str">
        <f>T("   901831")</f>
        <v xml:space="preserve">   901831</v>
      </c>
      <c r="B2767" t="str">
        <f>T("   Seringues, avec ou sans aiguilles, pour la médecine")</f>
        <v xml:space="preserve">   Seringues, avec ou sans aiguilles, pour la médecine</v>
      </c>
      <c r="C2767">
        <v>52257802</v>
      </c>
      <c r="D2767">
        <v>49950</v>
      </c>
    </row>
    <row r="2768" spans="1:4" x14ac:dyDescent="0.25">
      <c r="A2768" t="str">
        <f>T("   901839")</f>
        <v xml:space="preserve">   901839</v>
      </c>
      <c r="B2768" t="str">
        <f>T("   AIGUILLES, CTHEÉTERS, CANULES ET SIMIL. POUR LA MÉDECINE (SAUF SERINGUES, AIGUILLES TUBULAIRES EN MÉTAL ET AIGUILLES À SUTURES)")</f>
        <v xml:space="preserve">   AIGUILLES, CTHEÉTERS, CANULES ET SIMIL. POUR LA MÉDECINE (SAUF SERINGUES, AIGUILLES TUBULAIRES EN MÉTAL ET AIGUILLES À SUTURES)</v>
      </c>
      <c r="C2768">
        <v>2607441</v>
      </c>
      <c r="D2768">
        <v>1881</v>
      </c>
    </row>
    <row r="2769" spans="1:4" x14ac:dyDescent="0.25">
      <c r="A2769" t="str">
        <f>T("   901890")</f>
        <v xml:space="preserve">   901890</v>
      </c>
      <c r="B2769" t="str">
        <f>T("   Instruments et appareils pour la médecine, la chirurgie ou l'art vétérinaire, n.d.a.")</f>
        <v xml:space="preserve">   Instruments et appareils pour la médecine, la chirurgie ou l'art vétérinaire, n.d.a.</v>
      </c>
      <c r="C2769">
        <v>30139218</v>
      </c>
      <c r="D2769">
        <v>10211.34</v>
      </c>
    </row>
    <row r="2770" spans="1:4" x14ac:dyDescent="0.25">
      <c r="A2770" t="str">
        <f>T("   901910")</f>
        <v xml:space="preserve">   901910</v>
      </c>
      <c r="B2770" t="str">
        <f>T("   Appareils de mécanothérapie, appareils de massage et appareils de psychotechnie")</f>
        <v xml:space="preserve">   Appareils de mécanothérapie, appareils de massage et appareils de psychotechnie</v>
      </c>
      <c r="C2770">
        <v>4357778</v>
      </c>
      <c r="D2770">
        <v>8055</v>
      </c>
    </row>
    <row r="2771" spans="1:4" x14ac:dyDescent="0.25">
      <c r="A2771" t="str">
        <f>T("   901920")</f>
        <v xml:space="preserve">   901920</v>
      </c>
      <c r="B2771" t="str">
        <f>T("   APPAREILS D'OZONOTHERAPIE, D'OXYGÉNOTHERAPIE, D'AÉROSOLTHERAPIE; APPAREILS RESPIRATOIRES DE RÉANIMATION ET AUTRES APPAREILS DE THERAPIE RESPIRATOIRE")</f>
        <v xml:space="preserve">   APPAREILS D'OZONOTHERAPIE, D'OXYGÉNOTHERAPIE, D'AÉROSOLTHERAPIE; APPAREILS RESPIRATOIRES DE RÉANIMATION ET AUTRES APPAREILS DE THERAPIE RESPIRATOIRE</v>
      </c>
      <c r="C2771">
        <v>730013</v>
      </c>
      <c r="D2771">
        <v>152</v>
      </c>
    </row>
    <row r="2772" spans="1:4" x14ac:dyDescent="0.25">
      <c r="A2772" t="str">
        <f>T("   902110")</f>
        <v xml:space="preserve">   902110</v>
      </c>
      <c r="B2772" t="str">
        <f>T("   Appareils d'orthopédie ou pour fractures")</f>
        <v xml:space="preserve">   Appareils d'orthopédie ou pour fractures</v>
      </c>
      <c r="C2772">
        <v>600146</v>
      </c>
      <c r="D2772">
        <v>2500</v>
      </c>
    </row>
    <row r="2773" spans="1:4" x14ac:dyDescent="0.25">
      <c r="A2773" t="str">
        <f>T("   902190")</f>
        <v xml:space="preserve">   902190</v>
      </c>
      <c r="B2773" t="s">
        <v>498</v>
      </c>
      <c r="C2773">
        <v>5668709</v>
      </c>
      <c r="D2773">
        <v>3252</v>
      </c>
    </row>
    <row r="2774" spans="1:4" x14ac:dyDescent="0.25">
      <c r="A2774" t="str">
        <f>T("   902214")</f>
        <v xml:space="preserve">   902214</v>
      </c>
      <c r="B2774" t="str">
        <f>T("   Appareils à rayons X pour usages médicaux, chirurgicaux ou vétérinaires (à l'excl. des appareils pour l'art dentaire et des appareils de tomographie pilotés par une machine automatique de traitement de l'information)")</f>
        <v xml:space="preserve">   Appareils à rayons X pour usages médicaux, chirurgicaux ou vétérinaires (à l'excl. des appareils pour l'art dentaire et des appareils de tomographie pilotés par une machine automatique de traitement de l'information)</v>
      </c>
      <c r="C2774">
        <v>35795135</v>
      </c>
      <c r="D2774">
        <v>3310</v>
      </c>
    </row>
    <row r="2775" spans="1:4" x14ac:dyDescent="0.25">
      <c r="A2775" t="str">
        <f>T("   902300")</f>
        <v xml:space="preserve">   902300</v>
      </c>
      <c r="B2775" t="s">
        <v>500</v>
      </c>
      <c r="C2775">
        <v>3234402</v>
      </c>
      <c r="D2775">
        <v>23447</v>
      </c>
    </row>
    <row r="2776" spans="1:4" x14ac:dyDescent="0.25">
      <c r="A2776" t="str">
        <f>T("   902620")</f>
        <v xml:space="preserve">   902620</v>
      </c>
      <c r="B2776" t="str">
        <f>T("   Instruments et appareils pour la mesure ou le contrôle de la pression des liquides ou des gaz (à l'excl. des instruments et appareils pour la régulation ou le contrôle automatiques)")</f>
        <v xml:space="preserve">   Instruments et appareils pour la mesure ou le contrôle de la pression des liquides ou des gaz (à l'excl. des instruments et appareils pour la régulation ou le contrôle automatiques)</v>
      </c>
      <c r="C2776">
        <v>111513</v>
      </c>
      <c r="D2776">
        <v>247</v>
      </c>
    </row>
    <row r="2777" spans="1:4" x14ac:dyDescent="0.25">
      <c r="A2777" t="str">
        <f>T("   902730")</f>
        <v xml:space="preserve">   902730</v>
      </c>
      <c r="B2777" t="str">
        <f>T("   Spectromètres, spectrophotomètres et spectrographes utilisant les rayonnements optiques: UV, visibles, IR")</f>
        <v xml:space="preserve">   Spectromètres, spectrophotomètres et spectrographes utilisant les rayonnements optiques: UV, visibles, IR</v>
      </c>
      <c r="C2777">
        <v>503318</v>
      </c>
      <c r="D2777">
        <v>52</v>
      </c>
    </row>
    <row r="2778" spans="1:4" x14ac:dyDescent="0.25">
      <c r="A2778" t="str">
        <f>T("   902780")</f>
        <v xml:space="preserve">   902780</v>
      </c>
      <c r="B2778" t="str">
        <f>T("   Instruments et appareils pour analyses physiques ou chimiques, ou pour essais de viscosité, de porosité, de dilatation, de tension superficielle ou simil. ou pour mesures calorimétriques ou acoustiques ou photométriques, n.d.a.")</f>
        <v xml:space="preserve">   Instruments et appareils pour analyses physiques ou chimiques, ou pour essais de viscosité, de porosité, de dilatation, de tension superficielle ou simil. ou pour mesures calorimétriques ou acoustiques ou photométriques, n.d.a.</v>
      </c>
      <c r="C2778">
        <v>862830</v>
      </c>
      <c r="D2778">
        <v>62</v>
      </c>
    </row>
    <row r="2779" spans="1:4" x14ac:dyDescent="0.25">
      <c r="A2779" t="str">
        <f>T("   902820")</f>
        <v xml:space="preserve">   902820</v>
      </c>
      <c r="B2779" t="str">
        <f>T("   Compteurs de liquides, y.c. les compteurs pour leur étalonnage")</f>
        <v xml:space="preserve">   Compteurs de liquides, y.c. les compteurs pour leur étalonnage</v>
      </c>
      <c r="C2779">
        <v>1769615</v>
      </c>
      <c r="D2779">
        <v>7291</v>
      </c>
    </row>
    <row r="2780" spans="1:4" x14ac:dyDescent="0.25">
      <c r="A2780" t="str">
        <f>T("   902830")</f>
        <v xml:space="preserve">   902830</v>
      </c>
      <c r="B2780" t="str">
        <f>T("   Compteurs d'électricité, y.c. les compteurs pour leur étalonnage")</f>
        <v xml:space="preserve">   Compteurs d'électricité, y.c. les compteurs pour leur étalonnage</v>
      </c>
      <c r="C2780">
        <v>4080865</v>
      </c>
      <c r="D2780">
        <v>8253</v>
      </c>
    </row>
    <row r="2781" spans="1:4" x14ac:dyDescent="0.25">
      <c r="A2781" t="str">
        <f>T("   903039")</f>
        <v xml:space="preserve">   903039</v>
      </c>
      <c r="B2781" t="str">
        <f>T("   Instruments et appareils pour la mesure ou le contrôle de la tension, de l'intensité, de la résistance ou de la puissance, sans dispositif enregistreur (à l'excl. des multimètres ainsi que des oscilloscopes et oscillographes cathodiques)")</f>
        <v xml:space="preserve">   Instruments et appareils pour la mesure ou le contrôle de la tension, de l'intensité, de la résistance ou de la puissance, sans dispositif enregistreur (à l'excl. des multimètres ainsi que des oscilloscopes et oscillographes cathodiques)</v>
      </c>
      <c r="C2781">
        <v>913552</v>
      </c>
      <c r="D2781">
        <v>2832</v>
      </c>
    </row>
    <row r="2782" spans="1:4" x14ac:dyDescent="0.25">
      <c r="A2782" t="str">
        <f>T("   903289")</f>
        <v xml:space="preserve">   903289</v>
      </c>
      <c r="B2782" t="s">
        <v>503</v>
      </c>
      <c r="C2782">
        <v>17147905</v>
      </c>
      <c r="D2782">
        <v>45275</v>
      </c>
    </row>
    <row r="2783" spans="1:4" x14ac:dyDescent="0.25">
      <c r="A2783" t="str">
        <f>T("   910119")</f>
        <v xml:space="preserve">   910119</v>
      </c>
      <c r="B2783" t="str">
        <f>T("   Montres-bracelets, même incorporant un compteur de temps, fonctionnant électriquement, à affichage mécanique et optoélectronique, avec boîte en métaux précieux ou en plaqués ou doublés de métaux précieux (sauf celles dont le fond est en acier)")</f>
        <v xml:space="preserve">   Montres-bracelets, même incorporant un compteur de temps, fonctionnant électriquement, à affichage mécanique et optoélectronique, avec boîte en métaux précieux ou en plaqués ou doublés de métaux précieux (sauf celles dont le fond est en acier)</v>
      </c>
      <c r="C2783">
        <v>1193582</v>
      </c>
      <c r="D2783">
        <v>4960</v>
      </c>
    </row>
    <row r="2784" spans="1:4" x14ac:dyDescent="0.25">
      <c r="A2784" t="str">
        <f>T("   910199")</f>
        <v xml:space="preserve">   910199</v>
      </c>
      <c r="B2784" t="str">
        <f>T("   Montres de poche et simil., à remontage automatique ou manuel, y.c. les compteurs de temps du même type, avec boîte en métaux précieux ou en plaqués ou doublés de métaux précieux (sauf celles dont le fond est en acier et montres-bracelets)")</f>
        <v xml:space="preserve">   Montres de poche et simil., à remontage automatique ou manuel, y.c. les compteurs de temps du même type, avec boîte en métaux précieux ou en plaqués ou doublés de métaux précieux (sauf celles dont le fond est en acier et montres-bracelets)</v>
      </c>
      <c r="C2784">
        <v>1223848</v>
      </c>
      <c r="D2784">
        <v>965</v>
      </c>
    </row>
    <row r="2785" spans="1:4" x14ac:dyDescent="0.25">
      <c r="A2785" t="str">
        <f>T("   910229")</f>
        <v xml:space="preserve">   910229</v>
      </c>
      <c r="B2785" t="str">
        <f>T("   Montres-bracelets, même incorporant un compteur de temps, à remontage exclusivement manuel (autres que celles en métaux précieux ou en plaqués ou doublés de métaux précieux)")</f>
        <v xml:space="preserve">   Montres-bracelets, même incorporant un compteur de temps, à remontage exclusivement manuel (autres que celles en métaux précieux ou en plaqués ou doublés de métaux précieux)</v>
      </c>
      <c r="C2785">
        <v>163772</v>
      </c>
      <c r="D2785">
        <v>2585</v>
      </c>
    </row>
    <row r="2786" spans="1:4" x14ac:dyDescent="0.25">
      <c r="A2786" t="str">
        <f>T("   910390")</f>
        <v xml:space="preserve">   910390</v>
      </c>
      <c r="B2786" t="str">
        <f>T("   Réveils et pendulettes, à mouvement de montre, ne fonctionnant pas électriquement (autres que montres-bracelets, montres de poche et montres simil. du n° 9101 ou 9102 ainsi que montres de tableaux de bord et montres simil. du n° 9104)")</f>
        <v xml:space="preserve">   Réveils et pendulettes, à mouvement de montre, ne fonctionnant pas électriquement (autres que montres-bracelets, montres de poche et montres simil. du n° 9101 ou 9102 ainsi que montres de tableaux de bord et montres simil. du n° 9104)</v>
      </c>
      <c r="C2786">
        <v>162521</v>
      </c>
      <c r="D2786">
        <v>16</v>
      </c>
    </row>
    <row r="2787" spans="1:4" x14ac:dyDescent="0.25">
      <c r="A2787" t="str">
        <f>T("   910511")</f>
        <v xml:space="preserve">   910511</v>
      </c>
      <c r="B2787" t="str">
        <f>T("   Réveils fonctionnant électriquement")</f>
        <v xml:space="preserve">   Réveils fonctionnant électriquement</v>
      </c>
      <c r="C2787">
        <v>3220811</v>
      </c>
      <c r="D2787">
        <v>3586</v>
      </c>
    </row>
    <row r="2788" spans="1:4" x14ac:dyDescent="0.25">
      <c r="A2788" t="str">
        <f>T("   910519")</f>
        <v xml:space="preserve">   910519</v>
      </c>
      <c r="B2788" t="str">
        <f>T("   RÉVEILS NE FONCTIONNANT PAS ÉLECTRIQUEMENT [01/01/1988-31/12/1994: RÉVEILS (AUTRES QUE FONCTIONNANT A PILE OU A ACCUMULATEUR OU SUR SECTEUR)]")</f>
        <v xml:space="preserve">   RÉVEILS NE FONCTIONNANT PAS ÉLECTRIQUEMENT [01/01/1988-31/12/1994: RÉVEILS (AUTRES QUE FONCTIONNANT A PILE OU A ACCUMULATEUR OU SUR SECTEUR)]</v>
      </c>
      <c r="C2788">
        <v>787155</v>
      </c>
      <c r="D2788">
        <v>3953</v>
      </c>
    </row>
    <row r="2789" spans="1:4" x14ac:dyDescent="0.25">
      <c r="A2789" t="str">
        <f>T("   910521")</f>
        <v xml:space="preserve">   910521</v>
      </c>
      <c r="B2789" t="str">
        <f>T("   PENDULES ET HORLOGES, MURALES, FONCTIONNANT ÉLECTRIQUEMENT [01/01/1988-31/12/1994: PENDULES ET HORLOGES MURALES, A PILE OU A ACCUMULATEUR OU FONCTIONNANT SUR SECTEUR]")</f>
        <v xml:space="preserve">   PENDULES ET HORLOGES, MURALES, FONCTIONNANT ÉLECTRIQUEMENT [01/01/1988-31/12/1994: PENDULES ET HORLOGES MURALES, A PILE OU A ACCUMULATEUR OU FONCTIONNANT SUR SECTEUR]</v>
      </c>
      <c r="C2789">
        <v>87721</v>
      </c>
      <c r="D2789">
        <v>2090</v>
      </c>
    </row>
    <row r="2790" spans="1:4" x14ac:dyDescent="0.25">
      <c r="A2790" t="str">
        <f>T("   910529")</f>
        <v xml:space="preserve">   910529</v>
      </c>
      <c r="B2790" t="str">
        <f>T("   Pendules et horloges murales ne fonctionnant pas électriquement")</f>
        <v xml:space="preserve">   Pendules et horloges murales ne fonctionnant pas électriquement</v>
      </c>
      <c r="C2790">
        <v>1331617</v>
      </c>
      <c r="D2790">
        <v>2306</v>
      </c>
    </row>
    <row r="2791" spans="1:4" x14ac:dyDescent="0.25">
      <c r="A2791" t="str">
        <f>T("   920210")</f>
        <v xml:space="preserve">   920210</v>
      </c>
      <c r="B2791" t="str">
        <f>T("   VIOLONS ET AUTRES INSTRUMENTS À CORDES FROTTÉES À L'AIDE D'UN ARCHET [01/01/1988-31/12/1988: INSTRUMENTS DE MUSIQUE A CORDES FROTTEES, A L'AIDE D'UN ARCHET, VIOLONS, PAR EXEMPLE]")</f>
        <v xml:space="preserve">   VIOLONS ET AUTRES INSTRUMENTS À CORDES FROTTÉES À L'AIDE D'UN ARCHET [01/01/1988-31/12/1988: INSTRUMENTS DE MUSIQUE A CORDES FROTTEES, A L'AIDE D'UN ARCHET, VIOLONS, PAR EXEMPLE]</v>
      </c>
      <c r="C2791">
        <v>670309</v>
      </c>
      <c r="D2791">
        <v>1145</v>
      </c>
    </row>
    <row r="2792" spans="1:4" x14ac:dyDescent="0.25">
      <c r="A2792" t="str">
        <f>T("   920290")</f>
        <v xml:space="preserve">   920290</v>
      </c>
      <c r="B2792" t="str">
        <f>T("   Guitares, harpes et autres instruments de musique à cordes (autres qu'à clavier et à cordes frottées)")</f>
        <v xml:space="preserve">   Guitares, harpes et autres instruments de musique à cordes (autres qu'à clavier et à cordes frottées)</v>
      </c>
      <c r="C2792">
        <v>4098509</v>
      </c>
      <c r="D2792">
        <v>5000</v>
      </c>
    </row>
    <row r="2793" spans="1:4" x14ac:dyDescent="0.25">
      <c r="A2793" t="str">
        <f>T("   920600")</f>
        <v xml:space="preserve">   920600</v>
      </c>
      <c r="B2793" t="str">
        <f>T("   INSTRUMENTS DE MUSIQUE À PERCUSSION, P.EX. TAMBOURS, CAISSES, XYLOPHONES, CYMBALES, CASTAGNETTES, MARACAS [01/01/1988-31/12/1994: TAMBOURS, CAISSES, XYLOPHONES, CYMBALES, CASTAGNETTES, MARACAS ET AUTRES INSTRUMENTS DE MUSIQUE A PERCUSSION]")</f>
        <v xml:space="preserve">   INSTRUMENTS DE MUSIQUE À PERCUSSION, P.EX. TAMBOURS, CAISSES, XYLOPHONES, CYMBALES, CASTAGNETTES, MARACAS [01/01/1988-31/12/1994: TAMBOURS, CAISSES, XYLOPHONES, CYMBALES, CASTAGNETTES, MARACAS ET AUTRES INSTRUMENTS DE MUSIQUE A PERCUSSION]</v>
      </c>
      <c r="C2793">
        <v>722851</v>
      </c>
      <c r="D2793">
        <v>1335</v>
      </c>
    </row>
    <row r="2794" spans="1:4" x14ac:dyDescent="0.25">
      <c r="A2794" t="str">
        <f>T("   920710")</f>
        <v xml:space="preserve">   920710</v>
      </c>
      <c r="B2794" t="str">
        <f>T("   Instruments à clavier électriques (sauf accordéons)")</f>
        <v xml:space="preserve">   Instruments à clavier électriques (sauf accordéons)</v>
      </c>
      <c r="C2794">
        <v>55826</v>
      </c>
      <c r="D2794">
        <v>100</v>
      </c>
    </row>
    <row r="2795" spans="1:4" x14ac:dyDescent="0.25">
      <c r="A2795" t="str">
        <f>T("   920790")</f>
        <v xml:space="preserve">   920790</v>
      </c>
      <c r="B2795" t="str">
        <f>T("   Accordéons électriques et autres instruments de musique électriques")</f>
        <v xml:space="preserve">   Accordéons électriques et autres instruments de musique électriques</v>
      </c>
      <c r="C2795">
        <v>5191599</v>
      </c>
      <c r="D2795">
        <v>11693</v>
      </c>
    </row>
    <row r="2796" spans="1:4" x14ac:dyDescent="0.25">
      <c r="A2796" t="str">
        <f>T("   920999")</f>
        <v xml:space="preserve">   920999</v>
      </c>
      <c r="B2796" t="s">
        <v>506</v>
      </c>
      <c r="C2796">
        <v>198930</v>
      </c>
      <c r="D2796">
        <v>360</v>
      </c>
    </row>
    <row r="2797" spans="1:4" x14ac:dyDescent="0.25">
      <c r="A2797" t="str">
        <f>T("   930599")</f>
        <v xml:space="preserve">   930599</v>
      </c>
      <c r="B2797" t="str">
        <f>T("   Parties et accessoires pour armes et engins simil. du n° 9303 ou 9304, n.d.a. (à l'excl. des fusils ou carabines du n° 9303)")</f>
        <v xml:space="preserve">   Parties et accessoires pour armes et engins simil. du n° 9303 ou 9304, n.d.a. (à l'excl. des fusils ou carabines du n° 9303)</v>
      </c>
      <c r="C2797">
        <v>301064</v>
      </c>
      <c r="D2797">
        <v>145</v>
      </c>
    </row>
    <row r="2798" spans="1:4" x14ac:dyDescent="0.25">
      <c r="A2798" t="str">
        <f>T("   940110")</f>
        <v xml:space="preserve">   940110</v>
      </c>
      <c r="B2798" t="str">
        <f>T("   Sièges pour véhicules aériens")</f>
        <v xml:space="preserve">   Sièges pour véhicules aériens</v>
      </c>
      <c r="C2798">
        <v>200000</v>
      </c>
      <c r="D2798">
        <v>30</v>
      </c>
    </row>
    <row r="2799" spans="1:4" x14ac:dyDescent="0.25">
      <c r="A2799" t="str">
        <f>T("   940130")</f>
        <v xml:space="preserve">   940130</v>
      </c>
      <c r="B2799" t="str">
        <f>T("   Sièges pivotants, ajustables en hauteur (à l'excl. de ceux pour la médecine, la chirurgie, l'art dentaire ou vétérinaire, ainsi que des fauteuils pour salons de coiffure)")</f>
        <v xml:space="preserve">   Sièges pivotants, ajustables en hauteur (à l'excl. de ceux pour la médecine, la chirurgie, l'art dentaire ou vétérinaire, ainsi que des fauteuils pour salons de coiffure)</v>
      </c>
      <c r="C2799">
        <v>27236857</v>
      </c>
      <c r="D2799">
        <v>24242</v>
      </c>
    </row>
    <row r="2800" spans="1:4" x14ac:dyDescent="0.25">
      <c r="A2800" t="str">
        <f>T("   940150")</f>
        <v xml:space="preserve">   940150</v>
      </c>
      <c r="B2800" t="str">
        <f>T("   Sièges en rotin, en osier, en bambou ou en matières simil.")</f>
        <v xml:space="preserve">   Sièges en rotin, en osier, en bambou ou en matières simil.</v>
      </c>
      <c r="C2800">
        <v>1606446</v>
      </c>
      <c r="D2800">
        <v>1492</v>
      </c>
    </row>
    <row r="2801" spans="1:4" x14ac:dyDescent="0.25">
      <c r="A2801" t="str">
        <f>T("   940161")</f>
        <v xml:space="preserve">   940161</v>
      </c>
      <c r="B2801" t="str">
        <f>T("   Sièges, avec bâti en bois, rembourrés (non transformables en lits)")</f>
        <v xml:space="preserve">   Sièges, avec bâti en bois, rembourrés (non transformables en lits)</v>
      </c>
      <c r="C2801">
        <v>128800474</v>
      </c>
      <c r="D2801">
        <v>90900.3</v>
      </c>
    </row>
    <row r="2802" spans="1:4" x14ac:dyDescent="0.25">
      <c r="A2802" t="str">
        <f>T("   940169")</f>
        <v xml:space="preserve">   940169</v>
      </c>
      <c r="B2802" t="str">
        <f>T("   Sièges, avec bâti en bois, non rembourrés")</f>
        <v xml:space="preserve">   Sièges, avec bâti en bois, non rembourrés</v>
      </c>
      <c r="C2802">
        <v>10898018</v>
      </c>
      <c r="D2802">
        <v>12816</v>
      </c>
    </row>
    <row r="2803" spans="1:4" x14ac:dyDescent="0.25">
      <c r="A2803" t="str">
        <f>T("   940171")</f>
        <v xml:space="preserve">   940171</v>
      </c>
      <c r="B2803" t="str">
        <f>T("   Sièges, avec bâti en métal, rembourrés (autres que pour véhicules aériens ou automobiles, autres que fauteuils pivotants ajustables en hauteur et autres que pour la médecine, l'art dentaire ou la chirurgie)")</f>
        <v xml:space="preserve">   Sièges, avec bâti en métal, rembourrés (autres que pour véhicules aériens ou automobiles, autres que fauteuils pivotants ajustables en hauteur et autres que pour la médecine, l'art dentaire ou la chirurgie)</v>
      </c>
      <c r="C2803">
        <v>13305167</v>
      </c>
      <c r="D2803">
        <v>14335</v>
      </c>
    </row>
    <row r="2804" spans="1:4" x14ac:dyDescent="0.25">
      <c r="A2804" t="str">
        <f>T("   940179")</f>
        <v xml:space="preserve">   940179</v>
      </c>
      <c r="B2804" t="str">
        <f>T("   Sièges, avec bâti en métal non rembourrés (autres que fauteuils pivotants ajustables en hauteur et autres que pour la médecine, l'art dentaire ou la chirurgie)")</f>
        <v xml:space="preserve">   Sièges, avec bâti en métal non rembourrés (autres que fauteuils pivotants ajustables en hauteur et autres que pour la médecine, l'art dentaire ou la chirurgie)</v>
      </c>
      <c r="C2804">
        <v>21290738</v>
      </c>
      <c r="D2804">
        <v>28442</v>
      </c>
    </row>
    <row r="2805" spans="1:4" x14ac:dyDescent="0.25">
      <c r="A2805" t="str">
        <f>T("   940180")</f>
        <v xml:space="preserve">   940180</v>
      </c>
      <c r="B2805" t="str">
        <f>T("   Sièges, n.d.a.")</f>
        <v xml:space="preserve">   Sièges, n.d.a.</v>
      </c>
      <c r="C2805">
        <v>131246520</v>
      </c>
      <c r="D2805">
        <v>187654</v>
      </c>
    </row>
    <row r="2806" spans="1:4" x14ac:dyDescent="0.25">
      <c r="A2806" t="str">
        <f>T("   940210")</f>
        <v xml:space="preserve">   940210</v>
      </c>
      <c r="B2806" t="str">
        <f>T("   Fauteuils de dentistes, fauteuils pour salons de coiffure et fauteuils simil., avec dispositif à la fois d'orientation et d'élévation, et leurs parties, n.d.a.")</f>
        <v xml:space="preserve">   Fauteuils de dentistes, fauteuils pour salons de coiffure et fauteuils simil., avec dispositif à la fois d'orientation et d'élévation, et leurs parties, n.d.a.</v>
      </c>
      <c r="C2806">
        <v>198523</v>
      </c>
      <c r="D2806">
        <v>104</v>
      </c>
    </row>
    <row r="2807" spans="1:4" x14ac:dyDescent="0.25">
      <c r="A2807" t="str">
        <f>T("   940290")</f>
        <v xml:space="preserve">   940290</v>
      </c>
      <c r="B2807" t="str">
        <f>T("   Tables d'opération, tables d'examen et autre mobilier pour la médecine, la chirurgie, l'art dentaire ou vétérinaire (sauf fauteuils de dentistes et autres sièges, tables d'examen radiographique, civières et brancards, y.c. chariots-brancards)")</f>
        <v xml:space="preserve">   Tables d'opération, tables d'examen et autre mobilier pour la médecine, la chirurgie, l'art dentaire ou vétérinaire (sauf fauteuils de dentistes et autres sièges, tables d'examen radiographique, civières et brancards, y.c. chariots-brancards)</v>
      </c>
      <c r="C2807">
        <v>7122729</v>
      </c>
      <c r="D2807">
        <v>9804</v>
      </c>
    </row>
    <row r="2808" spans="1:4" x14ac:dyDescent="0.25">
      <c r="A2808" t="str">
        <f>T("   940310")</f>
        <v xml:space="preserve">   940310</v>
      </c>
      <c r="B2808" t="str">
        <f>T("   Meubles de bureau en métal (sauf sièges)")</f>
        <v xml:space="preserve">   Meubles de bureau en métal (sauf sièges)</v>
      </c>
      <c r="C2808">
        <v>282817</v>
      </c>
      <c r="D2808">
        <v>2250</v>
      </c>
    </row>
    <row r="2809" spans="1:4" x14ac:dyDescent="0.25">
      <c r="A2809" t="str">
        <f>T("   940320")</f>
        <v xml:space="preserve">   940320</v>
      </c>
      <c r="B2809" t="str">
        <f>T("   Meubles en métal, sauf meubles de bureau, sièges et mobilier pour la médecine, la chirurgie, l'art dentaire ou vétérinaire")</f>
        <v xml:space="preserve">   Meubles en métal, sauf meubles de bureau, sièges et mobilier pour la médecine, la chirurgie, l'art dentaire ou vétérinaire</v>
      </c>
      <c r="C2809">
        <v>51072996</v>
      </c>
      <c r="D2809">
        <v>78884</v>
      </c>
    </row>
    <row r="2810" spans="1:4" x14ac:dyDescent="0.25">
      <c r="A2810" t="str">
        <f>T("   940330")</f>
        <v xml:space="preserve">   940330</v>
      </c>
      <c r="B2810" t="str">
        <f>T("   Meubles de bureau en bois (sauf sièges)")</f>
        <v xml:space="preserve">   Meubles de bureau en bois (sauf sièges)</v>
      </c>
      <c r="C2810">
        <v>57901667</v>
      </c>
      <c r="D2810">
        <v>127979</v>
      </c>
    </row>
    <row r="2811" spans="1:4" x14ac:dyDescent="0.25">
      <c r="A2811" t="str">
        <f>T("   940340")</f>
        <v xml:space="preserve">   940340</v>
      </c>
      <c r="B2811" t="str">
        <f>T("   Meubles de cuisine, en bois (sauf sièges)")</f>
        <v xml:space="preserve">   Meubles de cuisine, en bois (sauf sièges)</v>
      </c>
      <c r="C2811">
        <v>61818614</v>
      </c>
      <c r="D2811">
        <v>131118</v>
      </c>
    </row>
    <row r="2812" spans="1:4" x14ac:dyDescent="0.25">
      <c r="A2812" t="str">
        <f>T("   940350")</f>
        <v xml:space="preserve">   940350</v>
      </c>
      <c r="B2812" t="str">
        <f>T("   Meubles pour chambres à coucher, en bois (sauf sièges)")</f>
        <v xml:space="preserve">   Meubles pour chambres à coucher, en bois (sauf sièges)</v>
      </c>
      <c r="C2812">
        <v>83624522</v>
      </c>
      <c r="D2812">
        <v>128655.34</v>
      </c>
    </row>
    <row r="2813" spans="1:4" x14ac:dyDescent="0.25">
      <c r="A2813" t="str">
        <f>T("   940360")</f>
        <v xml:space="preserve">   940360</v>
      </c>
      <c r="B2813" t="str">
        <f>T("   Meubles en bois (autres que pour bureaux, cuisines ou chambres à coucher et autres que sièges)")</f>
        <v xml:space="preserve">   Meubles en bois (autres que pour bureaux, cuisines ou chambres à coucher et autres que sièges)</v>
      </c>
      <c r="C2813">
        <v>163651859</v>
      </c>
      <c r="D2813">
        <v>338375.33</v>
      </c>
    </row>
    <row r="2814" spans="1:4" x14ac:dyDescent="0.25">
      <c r="A2814" t="str">
        <f>T("   940370")</f>
        <v xml:space="preserve">   940370</v>
      </c>
      <c r="B2814" t="str">
        <f>T("   Meubles en matières plastiques (autres que pour la médecine, l'art dentaire et vétérinaire, la chirurgie et autres que sièges)")</f>
        <v xml:space="preserve">   Meubles en matières plastiques (autres que pour la médecine, l'art dentaire et vétérinaire, la chirurgie et autres que sièges)</v>
      </c>
      <c r="C2814">
        <v>89498351</v>
      </c>
      <c r="D2814">
        <v>224208</v>
      </c>
    </row>
    <row r="2815" spans="1:4" x14ac:dyDescent="0.25">
      <c r="A2815" t="str">
        <f>T("   940380")</f>
        <v xml:space="preserve">   940380</v>
      </c>
      <c r="B2815" t="str">
        <f>T("   Meubles en rotin, osier, bambou ou autres matières (sauf métal, bois et matières plastiques)")</f>
        <v xml:space="preserve">   Meubles en rotin, osier, bambou ou autres matières (sauf métal, bois et matières plastiques)</v>
      </c>
      <c r="C2815">
        <v>573913220</v>
      </c>
      <c r="D2815">
        <v>1336854.6499999999</v>
      </c>
    </row>
    <row r="2816" spans="1:4" x14ac:dyDescent="0.25">
      <c r="A2816" t="str">
        <f>T("   940390")</f>
        <v xml:space="preserve">   940390</v>
      </c>
      <c r="B2816" t="str">
        <f>T("   PARTIES DE MEUBLES, N.D.A. (AUTRES QUE DE SIÈGES ET MOBILIER POUR LA MÉDECINE, L'ART DENTAIRE ET VÉTÉRINAIRE OU LA CHIRURGIE)")</f>
        <v xml:space="preserve">   PARTIES DE MEUBLES, N.D.A. (AUTRES QUE DE SIÈGES ET MOBILIER POUR LA MÉDECINE, L'ART DENTAIRE ET VÉTÉRINAIRE OU LA CHIRURGIE)</v>
      </c>
      <c r="C2816">
        <v>14482007</v>
      </c>
      <c r="D2816">
        <v>13932</v>
      </c>
    </row>
    <row r="2817" spans="1:4" x14ac:dyDescent="0.25">
      <c r="A2817" t="str">
        <f>T("   940410")</f>
        <v xml:space="preserve">   940410</v>
      </c>
      <c r="B2817" t="str">
        <f>T("   Sommiers (sauf ressorts pour sièges)")</f>
        <v xml:space="preserve">   Sommiers (sauf ressorts pour sièges)</v>
      </c>
      <c r="C2817">
        <v>2881196</v>
      </c>
      <c r="D2817">
        <v>3347</v>
      </c>
    </row>
    <row r="2818" spans="1:4" x14ac:dyDescent="0.25">
      <c r="A2818" t="str">
        <f>T("   940421")</f>
        <v xml:space="preserve">   940421</v>
      </c>
      <c r="B2818" t="str">
        <f>T("   Matelas en caoutchouc alvéolaire ou en matières plastiques alvéolaires")</f>
        <v xml:space="preserve">   Matelas en caoutchouc alvéolaire ou en matières plastiques alvéolaires</v>
      </c>
      <c r="C2818">
        <v>377325</v>
      </c>
      <c r="D2818">
        <v>446</v>
      </c>
    </row>
    <row r="2819" spans="1:4" x14ac:dyDescent="0.25">
      <c r="A2819" t="str">
        <f>T("   940429")</f>
        <v xml:space="preserve">   940429</v>
      </c>
      <c r="B2819" t="str">
        <f>T("   Matelas à ressorts ou rembourrés, ou garnis intérieurement de matières autres que le caoutchouc alvéolaire ou les matières plastiques alvéolaires (sauf matelas à eau, matelas pneumatiques et oreillers)")</f>
        <v xml:space="preserve">   Matelas à ressorts ou rembourrés, ou garnis intérieurement de matières autres que le caoutchouc alvéolaire ou les matières plastiques alvéolaires (sauf matelas à eau, matelas pneumatiques et oreillers)</v>
      </c>
      <c r="C2819">
        <v>4988240</v>
      </c>
      <c r="D2819">
        <v>8979</v>
      </c>
    </row>
    <row r="2820" spans="1:4" x14ac:dyDescent="0.25">
      <c r="A2820" t="str">
        <f>T("   940490")</f>
        <v xml:space="preserve">   940490</v>
      </c>
      <c r="B2820" t="s">
        <v>508</v>
      </c>
      <c r="C2820">
        <v>13321950</v>
      </c>
      <c r="D2820">
        <v>17717.95</v>
      </c>
    </row>
    <row r="2821" spans="1:4" x14ac:dyDescent="0.25">
      <c r="A2821" t="str">
        <f>T("   940510")</f>
        <v xml:space="preserve">   940510</v>
      </c>
      <c r="B2821" t="str">
        <f>T("   Lustres et autres appareils d'éclairage électrique à suspendre ou à fixer au plafond ou au mur (sauf pour l'éclairage des espaces et voies publiques)")</f>
        <v xml:space="preserve">   Lustres et autres appareils d'éclairage électrique à suspendre ou à fixer au plafond ou au mur (sauf pour l'éclairage des espaces et voies publiques)</v>
      </c>
      <c r="C2821">
        <v>67442143</v>
      </c>
      <c r="D2821">
        <v>60678.47</v>
      </c>
    </row>
    <row r="2822" spans="1:4" x14ac:dyDescent="0.25">
      <c r="A2822" t="str">
        <f>T("   940520")</f>
        <v xml:space="preserve">   940520</v>
      </c>
      <c r="B2822" t="str">
        <f>T("   Lampes de chevet, lampes de bureau et lampadaires d'intérieur, électriques")</f>
        <v xml:space="preserve">   Lampes de chevet, lampes de bureau et lampadaires d'intérieur, électriques</v>
      </c>
      <c r="C2822">
        <v>857082</v>
      </c>
      <c r="D2822">
        <v>1124</v>
      </c>
    </row>
    <row r="2823" spans="1:4" x14ac:dyDescent="0.25">
      <c r="A2823" t="str">
        <f>T("   940530")</f>
        <v xml:space="preserve">   940530</v>
      </c>
      <c r="B2823" t="str">
        <f>T("   GUIRLANDES ÉLECTRIQUES POUR ARBRES DE NOÙL")</f>
        <v xml:space="preserve">   GUIRLANDES ÉLECTRIQUES POUR ARBRES DE NOÙL</v>
      </c>
      <c r="C2823">
        <v>15412990</v>
      </c>
      <c r="D2823">
        <v>62634</v>
      </c>
    </row>
    <row r="2824" spans="1:4" x14ac:dyDescent="0.25">
      <c r="A2824" t="str">
        <f>T("   940540")</f>
        <v xml:space="preserve">   940540</v>
      </c>
      <c r="B2824" t="str">
        <f>T("   Appareils d'éclairage électrique, n.d.a.")</f>
        <v xml:space="preserve">   Appareils d'éclairage électrique, n.d.a.</v>
      </c>
      <c r="C2824">
        <v>21392927</v>
      </c>
      <c r="D2824">
        <v>87452</v>
      </c>
    </row>
    <row r="2825" spans="1:4" x14ac:dyDescent="0.25">
      <c r="A2825" t="str">
        <f>T("   940550")</f>
        <v xml:space="preserve">   940550</v>
      </c>
      <c r="B2825" t="str">
        <f>T("   Appareils d'éclairage non-électriques, n.d.a.")</f>
        <v xml:space="preserve">   Appareils d'éclairage non-électriques, n.d.a.</v>
      </c>
      <c r="C2825">
        <v>1768173</v>
      </c>
      <c r="D2825">
        <v>2960</v>
      </c>
    </row>
    <row r="2826" spans="1:4" x14ac:dyDescent="0.25">
      <c r="A2826" t="str">
        <f>T("   940560")</f>
        <v xml:space="preserve">   940560</v>
      </c>
      <c r="B2826" t="str">
        <f>T("   Lampes-réclames, enseignes lumineuses, plaques indicatrices lumineuses et articles simil., possédant une source d'éclairage fixée à demeure")</f>
        <v xml:space="preserve">   Lampes-réclames, enseignes lumineuses, plaques indicatrices lumineuses et articles simil., possédant une source d'éclairage fixée à demeure</v>
      </c>
      <c r="C2826">
        <v>8207924</v>
      </c>
      <c r="D2826">
        <v>8870</v>
      </c>
    </row>
    <row r="2827" spans="1:4" x14ac:dyDescent="0.25">
      <c r="A2827" t="str">
        <f>T("   940599")</f>
        <v xml:space="preserve">   940599</v>
      </c>
      <c r="B2827" t="str">
        <f>T("   Parties d'appareils d'éclairage, de lampes-réclames, d'enseignes lumineuses, de plaques indicatrices lumineuses, et simil., n.d.a.")</f>
        <v xml:space="preserve">   Parties d'appareils d'éclairage, de lampes-réclames, d'enseignes lumineuses, de plaques indicatrices lumineuses, et simil., n.d.a.</v>
      </c>
      <c r="C2827">
        <v>6164326</v>
      </c>
      <c r="D2827">
        <v>12085</v>
      </c>
    </row>
    <row r="2828" spans="1:4" x14ac:dyDescent="0.25">
      <c r="A2828" t="str">
        <f>T("   940600")</f>
        <v xml:space="preserve">   940600</v>
      </c>
      <c r="B2828" t="str">
        <f>T("   Constructions préfabriquées, même incomplètes ou non encore montées")</f>
        <v xml:space="preserve">   Constructions préfabriquées, même incomplètes ou non encore montées</v>
      </c>
      <c r="C2828">
        <v>475346235</v>
      </c>
      <c r="D2828">
        <v>411104</v>
      </c>
    </row>
    <row r="2829" spans="1:4" x14ac:dyDescent="0.25">
      <c r="A2829" t="str">
        <f>T("   950100")</f>
        <v xml:space="preserve">   950100</v>
      </c>
      <c r="B2829" t="str">
        <f>T("   JOUETS À ROUES CONÇUS POUR ÊTRE MONTÉS PAR LES ENFANTS, P.EX. TRICYCLES, TROTTINETTES, AUTOS À PÉDALES (À L'EXCL. DES CYCLES HABITUELS AVEC ROULEMENT À BILLES); LANDAUS ET POUSSETTES POUR POUPÉES")</f>
        <v xml:space="preserve">   JOUETS À ROUES CONÇUS POUR ÊTRE MONTÉS PAR LES ENFANTS, P.EX. TRICYCLES, TROTTINETTES, AUTOS À PÉDALES (À L'EXCL. DES CYCLES HABITUELS AVEC ROULEMENT À BILLES); LANDAUS ET POUSSETTES POUR POUPÉES</v>
      </c>
      <c r="C2829">
        <v>38303137</v>
      </c>
      <c r="D2829">
        <v>47074</v>
      </c>
    </row>
    <row r="2830" spans="1:4" x14ac:dyDescent="0.25">
      <c r="A2830" t="str">
        <f>T("   950291")</f>
        <v xml:space="preserve">   950291</v>
      </c>
      <c r="B2830" t="str">
        <f>T("   Vêtements et leurs accessoires, chaussures et chapeaux, pour poupées représentant uniquement l'être humain")</f>
        <v xml:space="preserve">   Vêtements et leurs accessoires, chaussures et chapeaux, pour poupées représentant uniquement l'être humain</v>
      </c>
      <c r="C2830">
        <v>800000</v>
      </c>
      <c r="D2830">
        <v>800</v>
      </c>
    </row>
    <row r="2831" spans="1:4" x14ac:dyDescent="0.25">
      <c r="A2831" t="str">
        <f>T("   950299")</f>
        <v xml:space="preserve">   950299</v>
      </c>
      <c r="B2831" t="str">
        <f>T("   Parties et accessoires pour poupées représentant uniquement l'être humain, n.d.a.")</f>
        <v xml:space="preserve">   Parties et accessoires pour poupées représentant uniquement l'être humain, n.d.a.</v>
      </c>
      <c r="C2831">
        <v>10246747</v>
      </c>
      <c r="D2831">
        <v>13055</v>
      </c>
    </row>
    <row r="2832" spans="1:4" x14ac:dyDescent="0.25">
      <c r="A2832" t="str">
        <f>T("   950310")</f>
        <v xml:space="preserve">   950310</v>
      </c>
      <c r="B2832" t="str">
        <f>T("   Modèles réduits de trains électriques, y.c. les rails, les signaux et autres accessoires")</f>
        <v xml:space="preserve">   Modèles réduits de trains électriques, y.c. les rails, les signaux et autres accessoires</v>
      </c>
      <c r="C2832">
        <v>7288272</v>
      </c>
      <c r="D2832">
        <v>8504.48</v>
      </c>
    </row>
    <row r="2833" spans="1:4" x14ac:dyDescent="0.25">
      <c r="A2833" t="str">
        <f>T("   950349")</f>
        <v xml:space="preserve">   950349</v>
      </c>
      <c r="B2833" t="str">
        <f>T("   JOUETS REPRÉSENTANT DES ANIMAUX OU DES CRÉATURES NON-HUMAINES, NON-REMBOURRÉS")</f>
        <v xml:space="preserve">   JOUETS REPRÉSENTANT DES ANIMAUX OU DES CRÉATURES NON-HUMAINES, NON-REMBOURRÉS</v>
      </c>
      <c r="C2833">
        <v>10331732</v>
      </c>
      <c r="D2833">
        <v>11153</v>
      </c>
    </row>
    <row r="2834" spans="1:4" x14ac:dyDescent="0.25">
      <c r="A2834" t="str">
        <f>T("   950350")</f>
        <v xml:space="preserve">   950350</v>
      </c>
      <c r="B2834" t="str">
        <f>T("   INSTRUMENTS ET APPAREILS DE MUSIQUE-JOUETS")</f>
        <v xml:space="preserve">   INSTRUMENTS ET APPAREILS DE MUSIQUE-JOUETS</v>
      </c>
      <c r="C2834">
        <v>15253</v>
      </c>
      <c r="D2834">
        <v>300</v>
      </c>
    </row>
    <row r="2835" spans="1:4" x14ac:dyDescent="0.25">
      <c r="A2835" t="str">
        <f>T("   950370")</f>
        <v xml:space="preserve">   950370</v>
      </c>
      <c r="B2835" t="str">
        <f>T("   Jouets présentés en assortiments ou en panoplies (sauf trains électriques, y.c. accessoires, sauf modèles réduits à assembler, cubes et jeux de construction et puzzles)")</f>
        <v xml:space="preserve">   Jouets présentés en assortiments ou en panoplies (sauf trains électriques, y.c. accessoires, sauf modèles réduits à assembler, cubes et jeux de construction et puzzles)</v>
      </c>
      <c r="C2835">
        <v>124330</v>
      </c>
      <c r="D2835">
        <v>2500</v>
      </c>
    </row>
    <row r="2836" spans="1:4" x14ac:dyDescent="0.25">
      <c r="A2836" t="str">
        <f>T("   950380")</f>
        <v xml:space="preserve">   950380</v>
      </c>
      <c r="B2836" t="str">
        <f>T("   JOUETS ET MODÈLES, À MOTEUR (SAUF TRAINS ÉLECTRIQUES, Y.C. LES ACCESSOIRES, SAUF MODÈLES RÉDUITS À ASSEMBLER, JOUETS REPRÉSENTANT DES ANIMAUX OU DES CRÉATURES NON-HUMAINES)")</f>
        <v xml:space="preserve">   JOUETS ET MODÈLES, À MOTEUR (SAUF TRAINS ÉLECTRIQUES, Y.C. LES ACCESSOIRES, SAUF MODÈLES RÉDUITS À ASSEMBLER, JOUETS REPRÉSENTANT DES ANIMAUX OU DES CRÉATURES NON-HUMAINES)</v>
      </c>
      <c r="C2836">
        <v>36910</v>
      </c>
      <c r="D2836">
        <v>151</v>
      </c>
    </row>
    <row r="2837" spans="1:4" x14ac:dyDescent="0.25">
      <c r="A2837" t="str">
        <f>T("   950390")</f>
        <v xml:space="preserve">   950390</v>
      </c>
      <c r="B2837" t="str">
        <f>T("   Jouets, n.d.a.")</f>
        <v xml:space="preserve">   Jouets, n.d.a.</v>
      </c>
      <c r="C2837">
        <v>107075645</v>
      </c>
      <c r="D2837">
        <v>192387</v>
      </c>
    </row>
    <row r="2838" spans="1:4" x14ac:dyDescent="0.25">
      <c r="A2838" t="str">
        <f>T("   950430")</f>
        <v xml:space="preserve">   950430</v>
      </c>
      <c r="B2838" t="s">
        <v>509</v>
      </c>
      <c r="C2838">
        <v>532856</v>
      </c>
      <c r="D2838">
        <v>1000</v>
      </c>
    </row>
    <row r="2839" spans="1:4" x14ac:dyDescent="0.25">
      <c r="A2839" t="str">
        <f>T("   950440")</f>
        <v xml:space="preserve">   950440</v>
      </c>
      <c r="B2839" t="str">
        <f>T("   Cartes à jouer")</f>
        <v xml:space="preserve">   Cartes à jouer</v>
      </c>
      <c r="C2839">
        <v>1900000</v>
      </c>
      <c r="D2839">
        <v>17000</v>
      </c>
    </row>
    <row r="2840" spans="1:4" x14ac:dyDescent="0.25">
      <c r="A2840" t="str">
        <f>T("   950510")</f>
        <v xml:space="preserve">   950510</v>
      </c>
      <c r="B2840" t="str">
        <f>T("   Articles pour fêtes de Noël (sauf bougies et guirlandes électriques)")</f>
        <v xml:space="preserve">   Articles pour fêtes de Noël (sauf bougies et guirlandes électriques)</v>
      </c>
      <c r="C2840">
        <v>49158114</v>
      </c>
      <c r="D2840">
        <v>114969</v>
      </c>
    </row>
    <row r="2841" spans="1:4" x14ac:dyDescent="0.25">
      <c r="A2841" t="str">
        <f>T("   950590")</f>
        <v xml:space="preserve">   950590</v>
      </c>
      <c r="B2841" t="str">
        <f>T("   Articles pour fêtes, carnaval ou autres divertissements, y.c. les articles de magie et articles-surprises, n.d.a.")</f>
        <v xml:space="preserve">   Articles pour fêtes, carnaval ou autres divertissements, y.c. les articles de magie et articles-surprises, n.d.a.</v>
      </c>
      <c r="C2841">
        <v>11991429</v>
      </c>
      <c r="D2841">
        <v>59904</v>
      </c>
    </row>
    <row r="2842" spans="1:4" x14ac:dyDescent="0.25">
      <c r="A2842" t="str">
        <f>T("   950629")</f>
        <v xml:space="preserve">   950629</v>
      </c>
      <c r="B2842" t="str">
        <f>T("   SKIS NAUTIQUES, AQUAPLANES ET AUTRE MATÉRIEL POUR LA PRATIQUE DES SPORTS NAUTIQUES (À L'EXCL. DES PLANCHES À VOILE) [01/01/1988-31/12/1994: SKIS NAUTIQUES, AQUAPLANES ET AUTRE MATERIEL POUR LES SPORTS NAUTIQUES, SAUF PLANCHES A VOILE]")</f>
        <v xml:space="preserve">   SKIS NAUTIQUES, AQUAPLANES ET AUTRE MATÉRIEL POUR LA PRATIQUE DES SPORTS NAUTIQUES (À L'EXCL. DES PLANCHES À VOILE) [01/01/1988-31/12/1994: SKIS NAUTIQUES, AQUAPLANES ET AUTRE MATERIEL POUR LES SPORTS NAUTIQUES, SAUF PLANCHES A VOILE]</v>
      </c>
      <c r="C2842">
        <v>3614895</v>
      </c>
      <c r="D2842">
        <v>4639</v>
      </c>
    </row>
    <row r="2843" spans="1:4" x14ac:dyDescent="0.25">
      <c r="A2843" t="str">
        <f>T("   950659")</f>
        <v xml:space="preserve">   950659</v>
      </c>
      <c r="B2843" t="str">
        <f>T("   RAQUETTES DE BADMINTON OU SIMIL., MÊME NON CORDÉES (À L'EXCL. DES RAQUETTES DE TENNIS ET DE TENNIS DE TABLE) [01/01/1988-31/12/1994: RAQUETTES DE BADMINTON OU SIMILAIRES, CORDEES OU NON ( SAUF RAQUETTES DE TENNIS ET DE TENNIS DE TABLE)]")</f>
        <v xml:space="preserve">   RAQUETTES DE BADMINTON OU SIMIL., MÊME NON CORDÉES (À L'EXCL. DES RAQUETTES DE TENNIS ET DE TENNIS DE TABLE) [01/01/1988-31/12/1994: RAQUETTES DE BADMINTON OU SIMILAIRES, CORDEES OU NON ( SAUF RAQUETTES DE TENNIS ET DE TENNIS DE TABLE)]</v>
      </c>
      <c r="C2843">
        <v>408886</v>
      </c>
      <c r="D2843">
        <v>1410</v>
      </c>
    </row>
    <row r="2844" spans="1:4" x14ac:dyDescent="0.25">
      <c r="A2844" t="str">
        <f>T("   950662")</f>
        <v xml:space="preserve">   950662</v>
      </c>
      <c r="B2844" t="str">
        <f>T("   Ballons et balles gonflables")</f>
        <v xml:space="preserve">   Ballons et balles gonflables</v>
      </c>
      <c r="C2844">
        <v>4531264</v>
      </c>
      <c r="D2844">
        <v>9724</v>
      </c>
    </row>
    <row r="2845" spans="1:4" x14ac:dyDescent="0.25">
      <c r="A2845" t="str">
        <f>T("   950669")</f>
        <v xml:space="preserve">   950669</v>
      </c>
      <c r="B2845" t="str">
        <f>T("   Ballons et balles (autres que gonflables et autres que balles de golf ou de tennis de table)")</f>
        <v xml:space="preserve">   Ballons et balles (autres que gonflables et autres que balles de golf ou de tennis de table)</v>
      </c>
      <c r="C2845">
        <v>14030464</v>
      </c>
      <c r="D2845">
        <v>54002</v>
      </c>
    </row>
    <row r="2846" spans="1:4" x14ac:dyDescent="0.25">
      <c r="A2846" t="str">
        <f>T("   950691")</f>
        <v xml:space="preserve">   950691</v>
      </c>
      <c r="B2846" t="str">
        <f>T("   Articles et matériel pour la culture physique, la gymnastique ou l'athlétisme")</f>
        <v xml:space="preserve">   Articles et matériel pour la culture physique, la gymnastique ou l'athlétisme</v>
      </c>
      <c r="C2846">
        <v>40894806</v>
      </c>
      <c r="D2846">
        <v>50231</v>
      </c>
    </row>
    <row r="2847" spans="1:4" x14ac:dyDescent="0.25">
      <c r="A2847" t="str">
        <f>T("   950699")</f>
        <v xml:space="preserve">   950699</v>
      </c>
      <c r="B2847" t="str">
        <f>T("   Articles et matériel pour le sport et les jeux de plein air, n.d.a.; piscines et pataugeoires")</f>
        <v xml:space="preserve">   Articles et matériel pour le sport et les jeux de plein air, n.d.a.; piscines et pataugeoires</v>
      </c>
      <c r="C2847">
        <v>9097053</v>
      </c>
      <c r="D2847">
        <v>14087</v>
      </c>
    </row>
    <row r="2848" spans="1:4" x14ac:dyDescent="0.25">
      <c r="A2848" t="str">
        <f>T("   960310")</f>
        <v xml:space="preserve">   960310</v>
      </c>
      <c r="B2848" t="str">
        <f>T("   Balais et balayettes consistant en matières végétales en bottes liées")</f>
        <v xml:space="preserve">   Balais et balayettes consistant en matières végétales en bottes liées</v>
      </c>
      <c r="C2848">
        <v>7040701</v>
      </c>
      <c r="D2848">
        <v>18690</v>
      </c>
    </row>
    <row r="2849" spans="1:4" x14ac:dyDescent="0.25">
      <c r="A2849" t="str">
        <f>T("   960321")</f>
        <v xml:space="preserve">   960321</v>
      </c>
      <c r="B2849" t="str">
        <f>T("   Brosses à dent, y.c. brosses à prothèses dentaires")</f>
        <v xml:space="preserve">   Brosses à dent, y.c. brosses à prothèses dentaires</v>
      </c>
      <c r="C2849">
        <v>1771144</v>
      </c>
      <c r="D2849">
        <v>1612</v>
      </c>
    </row>
    <row r="2850" spans="1:4" x14ac:dyDescent="0.25">
      <c r="A2850" t="str">
        <f>T("   960329")</f>
        <v xml:space="preserve">   960329</v>
      </c>
      <c r="B2850" t="str">
        <f>T("   Brosses et pinceaux à barbe, à cheveux, à cils ou à ongles et autres brosses pour la toilette des personnes, sauf brosses à dent")</f>
        <v xml:space="preserve">   Brosses et pinceaux à barbe, à cheveux, à cils ou à ongles et autres brosses pour la toilette des personnes, sauf brosses à dent</v>
      </c>
      <c r="C2850">
        <v>15481119</v>
      </c>
      <c r="D2850">
        <v>46560</v>
      </c>
    </row>
    <row r="2851" spans="1:4" x14ac:dyDescent="0.25">
      <c r="A2851" t="str">
        <f>T("   960330")</f>
        <v xml:space="preserve">   960330</v>
      </c>
      <c r="B2851" t="str">
        <f>T("   Pinceaux et brosses pour artistes, pinceaux à écrire et pinceaux simil. pour l'application des produits cosmétiques")</f>
        <v xml:space="preserve">   Pinceaux et brosses pour artistes, pinceaux à écrire et pinceaux simil. pour l'application des produits cosmétiques</v>
      </c>
      <c r="C2851">
        <v>1023892</v>
      </c>
      <c r="D2851">
        <v>5980</v>
      </c>
    </row>
    <row r="2852" spans="1:4" x14ac:dyDescent="0.25">
      <c r="A2852" t="str">
        <f>T("   960340")</f>
        <v xml:space="preserve">   960340</v>
      </c>
      <c r="B2852" t="str">
        <f>T("   Brosses et pinceaux à peindre, à badigeonner, à vernir ou simil., sauf pinceaux pour artistes et pinceaux simil. du n° 9603.30; tampons et rouleaux à peindre")</f>
        <v xml:space="preserve">   Brosses et pinceaux à peindre, à badigeonner, à vernir ou simil., sauf pinceaux pour artistes et pinceaux simil. du n° 9603.30; tampons et rouleaux à peindre</v>
      </c>
      <c r="C2852">
        <v>6104641</v>
      </c>
      <c r="D2852">
        <v>17338</v>
      </c>
    </row>
    <row r="2853" spans="1:4" x14ac:dyDescent="0.25">
      <c r="A2853" t="str">
        <f>T("   960350")</f>
        <v xml:space="preserve">   960350</v>
      </c>
      <c r="B2853" t="str">
        <f>T("   Brosses constituant des parties de machines, d'appareils ou de véhicules")</f>
        <v xml:space="preserve">   Brosses constituant des parties de machines, d'appareils ou de véhicules</v>
      </c>
      <c r="C2853">
        <v>1000000</v>
      </c>
      <c r="D2853">
        <v>8130</v>
      </c>
    </row>
    <row r="2854" spans="1:4" x14ac:dyDescent="0.25">
      <c r="A2854" t="str">
        <f>T("   960390")</f>
        <v xml:space="preserve">   960390</v>
      </c>
      <c r="B2854" t="str">
        <f>T("   ARTICLES DE BROSSERIE (SAUF DU N° 9603.10 À 9603.50), P.EX. TÊTES PRÉPARÉES POUR ARTICLES DE BROSSERIE ET RACLETTES EN CAOUTCHOUC OU EN MATIÈRES SOUPLES ANALOGUES")</f>
        <v xml:space="preserve">   ARTICLES DE BROSSERIE (SAUF DU N° 9603.10 À 9603.50), P.EX. TÊTES PRÉPARÉES POUR ARTICLES DE BROSSERIE ET RACLETTES EN CAOUTCHOUC OU EN MATIÈRES SOUPLES ANALOGUES</v>
      </c>
      <c r="C2854">
        <v>19579830</v>
      </c>
      <c r="D2854">
        <v>44111</v>
      </c>
    </row>
    <row r="2855" spans="1:4" x14ac:dyDescent="0.25">
      <c r="A2855" t="str">
        <f>T("   960400")</f>
        <v xml:space="preserve">   960400</v>
      </c>
      <c r="B2855" t="str">
        <f>T("   Tamis et cribles, à main (sauf simples égouttoirs et passoires)")</f>
        <v xml:space="preserve">   Tamis et cribles, à main (sauf simples égouttoirs et passoires)</v>
      </c>
      <c r="C2855">
        <v>1319651</v>
      </c>
      <c r="D2855">
        <v>2963</v>
      </c>
    </row>
    <row r="2856" spans="1:4" x14ac:dyDescent="0.25">
      <c r="A2856" t="str">
        <f>T("   960500")</f>
        <v xml:space="preserve">   960500</v>
      </c>
      <c r="B2856" t="str">
        <f>T("   Assortiments de voyage pour la toilette des personnes, la couture ou le nettoyage des chaussures ou des vêtements (sauf trousses de manucure)")</f>
        <v xml:space="preserve">   Assortiments de voyage pour la toilette des personnes, la couture ou le nettoyage des chaussures ou des vêtements (sauf trousses de manucure)</v>
      </c>
      <c r="C2856">
        <v>6900000</v>
      </c>
      <c r="D2856">
        <v>33774</v>
      </c>
    </row>
    <row r="2857" spans="1:4" x14ac:dyDescent="0.25">
      <c r="A2857" t="str">
        <f>T("   960621")</f>
        <v xml:space="preserve">   960621</v>
      </c>
      <c r="B2857" t="str">
        <f>T("   Boutons en matières plastiques (non recouverts de matières textiles) (sauf boutons-pressions et boutons de manchette)")</f>
        <v xml:space="preserve">   Boutons en matières plastiques (non recouverts de matières textiles) (sauf boutons-pressions et boutons de manchette)</v>
      </c>
      <c r="C2857">
        <v>7137654</v>
      </c>
      <c r="D2857">
        <v>16331</v>
      </c>
    </row>
    <row r="2858" spans="1:4" x14ac:dyDescent="0.25">
      <c r="A2858" t="str">
        <f>T("   960629")</f>
        <v xml:space="preserve">   960629</v>
      </c>
      <c r="B2858" t="str">
        <f>T("   Boutons (sauf boutons en matières plastiques ou en métaux communs, non recouverts de matières textiles, boutons-pressions et boutons de manchette)")</f>
        <v xml:space="preserve">   Boutons (sauf boutons en matières plastiques ou en métaux communs, non recouverts de matières textiles, boutons-pressions et boutons de manchette)</v>
      </c>
      <c r="C2858">
        <v>35692166</v>
      </c>
      <c r="D2858">
        <v>60264</v>
      </c>
    </row>
    <row r="2859" spans="1:4" x14ac:dyDescent="0.25">
      <c r="A2859" t="str">
        <f>T("   960719")</f>
        <v xml:space="preserve">   960719</v>
      </c>
      <c r="B2859" t="str">
        <f>T("   Fermetures à glissière sans agrafes et autres qu'en métaux communs")</f>
        <v xml:space="preserve">   Fermetures à glissière sans agrafes et autres qu'en métaux communs</v>
      </c>
      <c r="C2859">
        <v>35817853</v>
      </c>
      <c r="D2859">
        <v>59818</v>
      </c>
    </row>
    <row r="2860" spans="1:4" x14ac:dyDescent="0.25">
      <c r="A2860" t="str">
        <f>T("   960810")</f>
        <v xml:space="preserve">   960810</v>
      </c>
      <c r="B2860" t="str">
        <f>T("   Stylos et crayons à bille")</f>
        <v xml:space="preserve">   Stylos et crayons à bille</v>
      </c>
      <c r="C2860">
        <v>11753365</v>
      </c>
      <c r="D2860">
        <v>17272</v>
      </c>
    </row>
    <row r="2861" spans="1:4" x14ac:dyDescent="0.25">
      <c r="A2861" t="str">
        <f>T("   960820")</f>
        <v xml:space="preserve">   960820</v>
      </c>
      <c r="B2861" t="str">
        <f>T("   Stylos et marqueurs à mèche feutre ou à autres pointes poreuses")</f>
        <v xml:space="preserve">   Stylos et marqueurs à mèche feutre ou à autres pointes poreuses</v>
      </c>
      <c r="C2861">
        <v>364354</v>
      </c>
      <c r="D2861">
        <v>1053</v>
      </c>
    </row>
    <row r="2862" spans="1:4" x14ac:dyDescent="0.25">
      <c r="A2862" t="str">
        <f>T("   960839")</f>
        <v xml:space="preserve">   960839</v>
      </c>
      <c r="B2862" t="str">
        <f>T("   Stylos à plume et autres stylos (autres qu'à dessiner à l'encre de Chine)")</f>
        <v xml:space="preserve">   Stylos à plume et autres stylos (autres qu'à dessiner à l'encre de Chine)</v>
      </c>
      <c r="C2862">
        <v>2673567</v>
      </c>
      <c r="D2862">
        <v>13906</v>
      </c>
    </row>
    <row r="2863" spans="1:4" x14ac:dyDescent="0.25">
      <c r="A2863" t="str">
        <f>T("   960910")</f>
        <v xml:space="preserve">   960910</v>
      </c>
      <c r="B2863" t="str">
        <f>T("   Crayons à gaine")</f>
        <v xml:space="preserve">   Crayons à gaine</v>
      </c>
      <c r="C2863">
        <v>7912284</v>
      </c>
      <c r="D2863">
        <v>53380</v>
      </c>
    </row>
    <row r="2864" spans="1:4" x14ac:dyDescent="0.25">
      <c r="A2864" t="str">
        <f>T("   960990")</f>
        <v xml:space="preserve">   960990</v>
      </c>
      <c r="B2864" t="str">
        <f>T("   Crayons (sauf crayons à gaine), pastels, fusains, craies à écrire ou à dessiner et craies de tailleurs")</f>
        <v xml:space="preserve">   Crayons (sauf crayons à gaine), pastels, fusains, craies à écrire ou à dessiner et craies de tailleurs</v>
      </c>
      <c r="C2864">
        <v>1680774</v>
      </c>
      <c r="D2864">
        <v>8806</v>
      </c>
    </row>
    <row r="2865" spans="1:4" x14ac:dyDescent="0.25">
      <c r="A2865" t="str">
        <f>T("   961000")</f>
        <v xml:space="preserve">   961000</v>
      </c>
      <c r="B2865" t="str">
        <f>T("   Ardoises et tableaux pour l'écriture ou le dessin, même encadrés")</f>
        <v xml:space="preserve">   Ardoises et tableaux pour l'écriture ou le dessin, même encadrés</v>
      </c>
      <c r="C2865">
        <v>5625990</v>
      </c>
      <c r="D2865">
        <v>28265</v>
      </c>
    </row>
    <row r="2866" spans="1:4" x14ac:dyDescent="0.25">
      <c r="A2866" t="str">
        <f>T("   961511")</f>
        <v xml:space="preserve">   961511</v>
      </c>
      <c r="B2866" t="str">
        <f>T("   PEIGNÉS À COIFFER, PEIGNÉS DE COIFFURE, BARRETTES ET ARTICLES SIMIL., EN CAOUTCHOUC DURCI OU EN MATIÈRES PLASTIQUES")</f>
        <v xml:space="preserve">   PEIGNÉS À COIFFER, PEIGNÉS DE COIFFURE, BARRETTES ET ARTICLES SIMIL., EN CAOUTCHOUC DURCI OU EN MATIÈRES PLASTIQUES</v>
      </c>
      <c r="C2866">
        <v>12646216</v>
      </c>
      <c r="D2866">
        <v>17780</v>
      </c>
    </row>
    <row r="2867" spans="1:4" x14ac:dyDescent="0.25">
      <c r="A2867" t="str">
        <f>T("   961519")</f>
        <v xml:space="preserve">   961519</v>
      </c>
      <c r="B2867" t="str">
        <f>T("   PEIGNÉS À COIFFER, PEIGNÉS DE COIFFURE, BARRETTES ET ARTICLES SIMIL., EN MATIÈRES (AUTRES QUE CAOUTCHOUC OU MATIÈRES PLASTIQUES)")</f>
        <v xml:space="preserve">   PEIGNÉS À COIFFER, PEIGNÉS DE COIFFURE, BARRETTES ET ARTICLES SIMIL., EN MATIÈRES (AUTRES QUE CAOUTCHOUC OU MATIÈRES PLASTIQUES)</v>
      </c>
      <c r="C2867">
        <v>202918</v>
      </c>
      <c r="D2867">
        <v>1040</v>
      </c>
    </row>
    <row r="2868" spans="1:4" x14ac:dyDescent="0.25">
      <c r="A2868" t="str">
        <f>T("   961610")</f>
        <v xml:space="preserve">   961610</v>
      </c>
      <c r="B2868" t="str">
        <f>T("   VAPORISATEURS DE TOILETTE, LEURS MONTURES ET TÊTES DE MONTURES")</f>
        <v xml:space="preserve">   VAPORISATEURS DE TOILETTE, LEURS MONTURES ET TÊTES DE MONTURES</v>
      </c>
      <c r="C2868">
        <v>134218</v>
      </c>
      <c r="D2868">
        <v>300</v>
      </c>
    </row>
    <row r="2869" spans="1:4" x14ac:dyDescent="0.25">
      <c r="A2869" t="str">
        <f>T("   961700")</f>
        <v xml:space="preserve">   961700</v>
      </c>
      <c r="B2869" t="str">
        <f>T("   Bouteilles isolantes et autres récipients isothermiques montés, dont l'isolation est assurée par le vide, ainsi que leurs parties (à l'excl. des ampoules en verre)")</f>
        <v xml:space="preserve">   Bouteilles isolantes et autres récipients isothermiques montés, dont l'isolation est assurée par le vide, ainsi que leurs parties (à l'excl. des ampoules en verre)</v>
      </c>
      <c r="C2869">
        <v>23403804</v>
      </c>
      <c r="D2869">
        <v>33098</v>
      </c>
    </row>
    <row r="2870" spans="1:4" x14ac:dyDescent="0.25">
      <c r="A2870" t="str">
        <f>T("   961800")</f>
        <v xml:space="preserve">   961800</v>
      </c>
      <c r="B2870" t="str">
        <f>T("   Mannequins et articles simil.; automates et scènes animées pour étalages (à l'excl. des modèles utilisés pour l'enseignement, des poupées présentant des caractères de jouet et des marchandises présentées sur ces mannequins)")</f>
        <v xml:space="preserve">   Mannequins et articles simil.; automates et scènes animées pour étalages (à l'excl. des modèles utilisés pour l'enseignement, des poupées présentant des caractères de jouet et des marchandises présentées sur ces mannequins)</v>
      </c>
      <c r="C2870">
        <v>6364017</v>
      </c>
      <c r="D2870">
        <v>12570</v>
      </c>
    </row>
    <row r="2871" spans="1:4" x14ac:dyDescent="0.25">
      <c r="A2871" t="str">
        <f>T("   970110")</f>
        <v xml:space="preserve">   970110</v>
      </c>
      <c r="B2871" t="str">
        <f>T("   Tableaux, p.ex. peintures à l'huile, aquarelles et pastels, et dessins, faits entièrement à la main (à l'excl. des dessins du n° 4906 et des articles manufacturés décorés à la main)")</f>
        <v xml:space="preserve">   Tableaux, p.ex. peintures à l'huile, aquarelles et pastels, et dessins, faits entièrement à la main (à l'excl. des dessins du n° 4906 et des articles manufacturés décorés à la main)</v>
      </c>
      <c r="C2871">
        <v>1231369</v>
      </c>
      <c r="D2871">
        <v>6946</v>
      </c>
    </row>
    <row r="2872" spans="1:4" x14ac:dyDescent="0.25">
      <c r="A2872" t="str">
        <f>T("   970190")</f>
        <v xml:space="preserve">   970190</v>
      </c>
      <c r="B2872" t="str">
        <f>T("   Collages et tableautins simil.")</f>
        <v xml:space="preserve">   Collages et tableautins simil.</v>
      </c>
      <c r="C2872">
        <v>1051215</v>
      </c>
      <c r="D2872">
        <v>1863</v>
      </c>
    </row>
    <row r="2873" spans="1:4" x14ac:dyDescent="0.25">
      <c r="A2873" t="str">
        <f>T("   970200")</f>
        <v xml:space="preserve">   970200</v>
      </c>
      <c r="B2873" t="str">
        <f>T("   Gravures, estampes et lithographies originales")</f>
        <v xml:space="preserve">   Gravures, estampes et lithographies originales</v>
      </c>
      <c r="C2873">
        <v>1037548</v>
      </c>
      <c r="D2873">
        <v>2734</v>
      </c>
    </row>
    <row r="2874" spans="1:4" x14ac:dyDescent="0.25">
      <c r="A2874" t="str">
        <f>T("   970300")</f>
        <v xml:space="preserve">   970300</v>
      </c>
      <c r="B2874" t="str">
        <f>T("   Productions originales de l'art statuaire ou de la sculpture, en toutes matières")</f>
        <v xml:space="preserve">   Productions originales de l'art statuaire ou de la sculpture, en toutes matières</v>
      </c>
      <c r="C2874">
        <v>349554</v>
      </c>
      <c r="D2874">
        <v>646</v>
      </c>
    </row>
    <row r="2875" spans="1:4" x14ac:dyDescent="0.25">
      <c r="A2875" t="str">
        <f>T("CO")</f>
        <v>CO</v>
      </c>
      <c r="B2875" t="str">
        <f>T("Colombie")</f>
        <v>Colombie</v>
      </c>
    </row>
    <row r="2876" spans="1:4" x14ac:dyDescent="0.25">
      <c r="A2876" t="str">
        <f>T("   ZZ_Total_Produit_SH6")</f>
        <v xml:space="preserve">   ZZ_Total_Produit_SH6</v>
      </c>
      <c r="B2876" t="str">
        <f>T("   ZZ_Total_Produit_SH6")</f>
        <v xml:space="preserve">   ZZ_Total_Produit_SH6</v>
      </c>
      <c r="C2876">
        <v>1338454799</v>
      </c>
      <c r="D2876">
        <v>8545591</v>
      </c>
    </row>
    <row r="2877" spans="1:4" x14ac:dyDescent="0.25">
      <c r="A2877" t="str">
        <f>T("   030379")</f>
        <v xml:space="preserve">   030379</v>
      </c>
      <c r="B2877" t="s">
        <v>15</v>
      </c>
      <c r="C2877">
        <v>11250000</v>
      </c>
      <c r="D2877">
        <v>46700</v>
      </c>
    </row>
    <row r="2878" spans="1:4" x14ac:dyDescent="0.25">
      <c r="A2878" t="str">
        <f>T("   170490")</f>
        <v xml:space="preserve">   170490</v>
      </c>
      <c r="B2878" t="str">
        <f>T("   Sucreries sans cacao, y.c. le chocolat blanc (à l'excl. des gommes à mâcher)")</f>
        <v xml:space="preserve">   Sucreries sans cacao, y.c. le chocolat blanc (à l'excl. des gommes à mâcher)</v>
      </c>
      <c r="C2878">
        <v>10932230</v>
      </c>
      <c r="D2878">
        <v>40356</v>
      </c>
    </row>
    <row r="2879" spans="1:4" x14ac:dyDescent="0.25">
      <c r="A2879" t="str">
        <f>T("   190532")</f>
        <v xml:space="preserve">   190532</v>
      </c>
      <c r="B2879" t="str">
        <f>T("   GAUFRES ET GAUFRETTES")</f>
        <v xml:space="preserve">   GAUFRES ET GAUFRETTES</v>
      </c>
      <c r="C2879">
        <v>10610499</v>
      </c>
      <c r="D2879">
        <v>27908</v>
      </c>
    </row>
    <row r="2880" spans="1:4" x14ac:dyDescent="0.25">
      <c r="A2880" t="str">
        <f>T("   271011")</f>
        <v xml:space="preserve">   271011</v>
      </c>
      <c r="B2880" t="str">
        <f>T("   HUILES LÉGÈRES ET PRÉPARATIONS DE PÉTROLE OU DE MINÉRAUX BITUMINEUX DISTILLANT EN VOLUME, Y.C. LES PERTES, &gt;= 90% À 210°C, D'APRÈS LA MÉTHODE ASTM D 86")</f>
        <v xml:space="preserve">   HUILES LÉGÈRES ET PRÉPARATIONS DE PÉTROLE OU DE MINÉRAUX BITUMINEUX DISTILLANT EN VOLUME, Y.C. LES PERTES, &gt;= 90% À 210°C, D'APRÈS LA MÉTHODE ASTM D 86</v>
      </c>
      <c r="C2880">
        <v>3260175</v>
      </c>
      <c r="D2880">
        <v>9639</v>
      </c>
    </row>
    <row r="2881" spans="1:4" x14ac:dyDescent="0.25">
      <c r="A2881" t="str">
        <f>T("   271019")</f>
        <v xml:space="preserve">   271019</v>
      </c>
      <c r="B2881" t="str">
        <f>T("   Huiles moyennes et préparations, de pétrole ou de minéraux bitumineux, n.d.a.")</f>
        <v xml:space="preserve">   Huiles moyennes et préparations, de pétrole ou de minéraux bitumineux, n.d.a.</v>
      </c>
      <c r="C2881">
        <v>1270792964</v>
      </c>
      <c r="D2881">
        <v>8353058</v>
      </c>
    </row>
    <row r="2882" spans="1:4" x14ac:dyDescent="0.25">
      <c r="A2882" t="str">
        <f>T("   271490")</f>
        <v xml:space="preserve">   271490</v>
      </c>
      <c r="B2882" t="str">
        <f>T("   Bitumes et asphaltes, naturels; asphaltites et roches asphaltiques")</f>
        <v xml:space="preserve">   Bitumes et asphaltes, naturels; asphaltites et roches asphaltiques</v>
      </c>
      <c r="C2882">
        <v>2390998</v>
      </c>
      <c r="D2882">
        <v>7750</v>
      </c>
    </row>
    <row r="2883" spans="1:4" x14ac:dyDescent="0.25">
      <c r="A2883" t="str">
        <f>T("   283650")</f>
        <v xml:space="preserve">   283650</v>
      </c>
      <c r="B2883" t="str">
        <f>T("   Carbonate de calcium")</f>
        <v xml:space="preserve">   Carbonate de calcium</v>
      </c>
      <c r="C2883">
        <v>4360822</v>
      </c>
      <c r="D2883">
        <v>19440</v>
      </c>
    </row>
    <row r="2884" spans="1:4" x14ac:dyDescent="0.25">
      <c r="A2884" t="str">
        <f>T("   481840")</f>
        <v xml:space="preserve">   481840</v>
      </c>
      <c r="B2884" t="str">
        <f>T("   Serviettes et tampons hygiéniques, couches pour bébés et articles hygiéniques simil., en pâte à papier, papier, ouate de cellulose ou nappes de fibres de cellulose")</f>
        <v xml:space="preserve">   Serviettes et tampons hygiéniques, couches pour bébés et articles hygiéniques simil., en pâte à papier, papier, ouate de cellulose ou nappes de fibres de cellulose</v>
      </c>
      <c r="C2884">
        <v>12757111</v>
      </c>
      <c r="D2884">
        <v>18740</v>
      </c>
    </row>
    <row r="2885" spans="1:4" x14ac:dyDescent="0.25">
      <c r="A2885" t="str">
        <f>T("   630900")</f>
        <v xml:space="preserve">   630900</v>
      </c>
      <c r="B2885" t="s">
        <v>280</v>
      </c>
      <c r="C2885">
        <v>12100000</v>
      </c>
      <c r="D2885">
        <v>22000</v>
      </c>
    </row>
    <row r="2886" spans="1:4" x14ac:dyDescent="0.25">
      <c r="A2886" t="str">
        <f>T("CS")</f>
        <v>CS</v>
      </c>
      <c r="B2886" t="str">
        <f>T("Tchécoslovaquie")</f>
        <v>Tchécoslovaquie</v>
      </c>
    </row>
    <row r="2887" spans="1:4" x14ac:dyDescent="0.25">
      <c r="A2887" t="str">
        <f>T("   ZZ_Total_Produit_SH6")</f>
        <v xml:space="preserve">   ZZ_Total_Produit_SH6</v>
      </c>
      <c r="B2887" t="str">
        <f>T("   ZZ_Total_Produit_SH6")</f>
        <v xml:space="preserve">   ZZ_Total_Produit_SH6</v>
      </c>
      <c r="C2887">
        <v>2000000</v>
      </c>
      <c r="D2887">
        <v>2000</v>
      </c>
    </row>
    <row r="2888" spans="1:4" x14ac:dyDescent="0.25">
      <c r="A2888" t="str">
        <f>T("   871640")</f>
        <v xml:space="preserve">   871640</v>
      </c>
      <c r="B2888" t="str">
        <f>T("   Remorques ne circulant pas sur rails (à l'excl. des remorques pour le transport de marchandises et remorques pour l'habitation ou le camping, du type caravane)")</f>
        <v xml:space="preserve">   Remorques ne circulant pas sur rails (à l'excl. des remorques pour le transport de marchandises et remorques pour l'habitation ou le camping, du type caravane)</v>
      </c>
      <c r="C2888">
        <v>2000000</v>
      </c>
      <c r="D2888">
        <v>2000</v>
      </c>
    </row>
    <row r="2889" spans="1:4" x14ac:dyDescent="0.25">
      <c r="A2889" t="str">
        <f>T("CU")</f>
        <v>CU</v>
      </c>
      <c r="B2889" t="str">
        <f>T("Cuba")</f>
        <v>Cuba</v>
      </c>
    </row>
    <row r="2890" spans="1:4" x14ac:dyDescent="0.25">
      <c r="A2890" t="str">
        <f>T("   ZZ_Total_Produit_SH6")</f>
        <v xml:space="preserve">   ZZ_Total_Produit_SH6</v>
      </c>
      <c r="B2890" t="str">
        <f>T("   ZZ_Total_Produit_SH6")</f>
        <v xml:space="preserve">   ZZ_Total_Produit_SH6</v>
      </c>
      <c r="C2890">
        <v>12200000</v>
      </c>
      <c r="D2890">
        <v>24520</v>
      </c>
    </row>
    <row r="2891" spans="1:4" x14ac:dyDescent="0.25">
      <c r="A2891" t="str">
        <f>T("   080610")</f>
        <v xml:space="preserve">   080610</v>
      </c>
      <c r="B2891" t="str">
        <f>T("   Raisins, frais")</f>
        <v xml:space="preserve">   Raisins, frais</v>
      </c>
      <c r="C2891">
        <v>8000000</v>
      </c>
      <c r="D2891">
        <v>20520</v>
      </c>
    </row>
    <row r="2892" spans="1:4" x14ac:dyDescent="0.25">
      <c r="A2892" t="str">
        <f>T("   620590")</f>
        <v xml:space="preserve">   620590</v>
      </c>
      <c r="B2892"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2892">
        <v>950000</v>
      </c>
      <c r="D2892">
        <v>900</v>
      </c>
    </row>
    <row r="2893" spans="1:4" x14ac:dyDescent="0.25">
      <c r="A2893" t="str">
        <f>T("   732394")</f>
        <v xml:space="preserve">   732394</v>
      </c>
      <c r="B2893" t="s">
        <v>361</v>
      </c>
      <c r="C2893">
        <v>450000</v>
      </c>
      <c r="D2893">
        <v>400</v>
      </c>
    </row>
    <row r="2894" spans="1:4" x14ac:dyDescent="0.25">
      <c r="A2894" t="str">
        <f>T("   870322")</f>
        <v xml:space="preserve">   870322</v>
      </c>
      <c r="B2894" t="s">
        <v>475</v>
      </c>
      <c r="C2894">
        <v>1200000</v>
      </c>
      <c r="D2894">
        <v>1000</v>
      </c>
    </row>
    <row r="2895" spans="1:4" x14ac:dyDescent="0.25">
      <c r="A2895" t="str">
        <f>T("   940350")</f>
        <v xml:space="preserve">   940350</v>
      </c>
      <c r="B2895" t="str">
        <f>T("   Meubles pour chambres à coucher, en bois (sauf sièges)")</f>
        <v xml:space="preserve">   Meubles pour chambres à coucher, en bois (sauf sièges)</v>
      </c>
      <c r="C2895">
        <v>1600000</v>
      </c>
      <c r="D2895">
        <v>1700</v>
      </c>
    </row>
    <row r="2896" spans="1:4" x14ac:dyDescent="0.25">
      <c r="A2896" t="str">
        <f>T("CY")</f>
        <v>CY</v>
      </c>
      <c r="B2896" t="str">
        <f>T("Chypre")</f>
        <v>Chypre</v>
      </c>
    </row>
    <row r="2897" spans="1:4" x14ac:dyDescent="0.25">
      <c r="A2897" t="str">
        <f>T("   ZZ_Total_Produit_SH6")</f>
        <v xml:space="preserve">   ZZ_Total_Produit_SH6</v>
      </c>
      <c r="B2897" t="str">
        <f>T("   ZZ_Total_Produit_SH6")</f>
        <v xml:space="preserve">   ZZ_Total_Produit_SH6</v>
      </c>
      <c r="C2897">
        <v>99351565.810000002</v>
      </c>
      <c r="D2897">
        <v>189819</v>
      </c>
    </row>
    <row r="2898" spans="1:4" x14ac:dyDescent="0.25">
      <c r="A2898" t="str">
        <f>T("   020727")</f>
        <v xml:space="preserve">   020727</v>
      </c>
      <c r="B2898" t="str">
        <f>T("   Morceaux et abats comestibles de dindes et dindons [des espèces domestiques], congelés")</f>
        <v xml:space="preserve">   Morceaux et abats comestibles de dindes et dindons [des espèces domestiques], congelés</v>
      </c>
      <c r="C2898">
        <v>30801913</v>
      </c>
      <c r="D2898">
        <v>49500</v>
      </c>
    </row>
    <row r="2899" spans="1:4" x14ac:dyDescent="0.25">
      <c r="A2899" t="str">
        <f>T("   080810")</f>
        <v xml:space="preserve">   080810</v>
      </c>
      <c r="B2899" t="str">
        <f>T("   Pommes, fraîches")</f>
        <v xml:space="preserve">   Pommes, fraîches</v>
      </c>
      <c r="C2899">
        <v>8000088</v>
      </c>
      <c r="D2899">
        <v>23344</v>
      </c>
    </row>
    <row r="2900" spans="1:4" x14ac:dyDescent="0.25">
      <c r="A2900" t="str">
        <f>T("   100630")</f>
        <v xml:space="preserve">   100630</v>
      </c>
      <c r="B2900" t="str">
        <f>T("   Riz semi-blanchi ou blanchi, même poli ou glacé")</f>
        <v xml:space="preserve">   Riz semi-blanchi ou blanchi, même poli ou glacé</v>
      </c>
      <c r="C2900">
        <v>14703149.810000001</v>
      </c>
      <c r="D2900">
        <v>52000</v>
      </c>
    </row>
    <row r="2901" spans="1:4" x14ac:dyDescent="0.25">
      <c r="A2901" t="str">
        <f>T("   220820")</f>
        <v xml:space="preserve">   220820</v>
      </c>
      <c r="B2901" t="str">
        <f>T("   Eaux-de-vie de vin ou de marc de raisins")</f>
        <v xml:space="preserve">   Eaux-de-vie de vin ou de marc de raisins</v>
      </c>
      <c r="C2901">
        <v>4340422</v>
      </c>
      <c r="D2901">
        <v>2410</v>
      </c>
    </row>
    <row r="2902" spans="1:4" x14ac:dyDescent="0.25">
      <c r="A2902" t="str">
        <f>T("   220830")</f>
        <v xml:space="preserve">   220830</v>
      </c>
      <c r="B2902" t="str">
        <f>T("   Whiskies")</f>
        <v xml:space="preserve">   Whiskies</v>
      </c>
      <c r="C2902">
        <v>2424769</v>
      </c>
      <c r="D2902">
        <v>1205</v>
      </c>
    </row>
    <row r="2903" spans="1:4" x14ac:dyDescent="0.25">
      <c r="A2903" t="str">
        <f>T("   321590")</f>
        <v xml:space="preserve">   321590</v>
      </c>
      <c r="B2903" t="str">
        <f>T("   Encres à écrire et à dessiner, même concentrées ou sous formes solides")</f>
        <v xml:space="preserve">   Encres à écrire et à dessiner, même concentrées ou sous formes solides</v>
      </c>
      <c r="C2903">
        <v>1134142</v>
      </c>
      <c r="D2903">
        <v>4006</v>
      </c>
    </row>
    <row r="2904" spans="1:4" x14ac:dyDescent="0.25">
      <c r="A2904" t="str">
        <f>T("   391990")</f>
        <v xml:space="preserve">   391990</v>
      </c>
      <c r="B2904" t="s">
        <v>130</v>
      </c>
      <c r="C2904">
        <v>1044024</v>
      </c>
      <c r="D2904">
        <v>1806</v>
      </c>
    </row>
    <row r="2905" spans="1:4" x14ac:dyDescent="0.25">
      <c r="A2905" t="str">
        <f>T("   392190")</f>
        <v xml:space="preserve">   392190</v>
      </c>
      <c r="B2905" t="s">
        <v>143</v>
      </c>
      <c r="C2905">
        <v>150516</v>
      </c>
      <c r="D2905">
        <v>1288</v>
      </c>
    </row>
    <row r="2906" spans="1:4" x14ac:dyDescent="0.25">
      <c r="A2906" t="str">
        <f>T("   392329")</f>
        <v xml:space="preserve">   392329</v>
      </c>
      <c r="B2906" t="str">
        <f>T("   Sacs, sachets, pochettes et cornets, en matières plastiques (autres que les polymères de l'éthylène)")</f>
        <v xml:space="preserve">   Sacs, sachets, pochettes et cornets, en matières plastiques (autres que les polymères de l'éthylène)</v>
      </c>
      <c r="C2906">
        <v>299866</v>
      </c>
      <c r="D2906">
        <v>20</v>
      </c>
    </row>
    <row r="2907" spans="1:4" x14ac:dyDescent="0.25">
      <c r="A2907" t="str">
        <f>T("   610990")</f>
        <v xml:space="preserve">   610990</v>
      </c>
      <c r="B2907" t="str">
        <f>T("   T-shirts et maillots de corps, en bonneterie, de matières textiles (sauf de coton)")</f>
        <v xml:space="preserve">   T-shirts et maillots de corps, en bonneterie, de matières textiles (sauf de coton)</v>
      </c>
      <c r="C2907">
        <v>3091887</v>
      </c>
      <c r="D2907">
        <v>140</v>
      </c>
    </row>
    <row r="2908" spans="1:4" x14ac:dyDescent="0.25">
      <c r="A2908" t="str">
        <f>T("   630900")</f>
        <v xml:space="preserve">   630900</v>
      </c>
      <c r="B2908" t="s">
        <v>280</v>
      </c>
      <c r="C2908">
        <v>21900494</v>
      </c>
      <c r="D2908">
        <v>36000</v>
      </c>
    </row>
    <row r="2909" spans="1:4" x14ac:dyDescent="0.25">
      <c r="A2909" t="str">
        <f>T("   701329")</f>
        <v xml:space="preserve">   701329</v>
      </c>
      <c r="B2909" t="str">
        <f>T("   Verres à boire (autres qu'en vitrocérame, autres qu'en cristal au plomb)")</f>
        <v xml:space="preserve">   Verres à boire (autres qu'en vitrocérame, autres qu'en cristal au plomb)</v>
      </c>
      <c r="C2909">
        <v>1102662</v>
      </c>
      <c r="D2909">
        <v>100</v>
      </c>
    </row>
    <row r="2910" spans="1:4" x14ac:dyDescent="0.25">
      <c r="A2910" t="str">
        <f>T("   732393")</f>
        <v xml:space="preserve">   732393</v>
      </c>
      <c r="B2910" t="s">
        <v>360</v>
      </c>
      <c r="C2910">
        <v>308918</v>
      </c>
      <c r="D2910">
        <v>100</v>
      </c>
    </row>
    <row r="2911" spans="1:4" x14ac:dyDescent="0.25">
      <c r="A2911" t="str">
        <f>T("   843810")</f>
        <v xml:space="preserve">   843810</v>
      </c>
      <c r="B2911" t="s">
        <v>413</v>
      </c>
      <c r="C2911">
        <v>4526124</v>
      </c>
      <c r="D2911">
        <v>16000</v>
      </c>
    </row>
    <row r="2912" spans="1:4" x14ac:dyDescent="0.25">
      <c r="A2912" t="str">
        <f>T("   844359")</f>
        <v xml:space="preserve">   844359</v>
      </c>
      <c r="B2912" t="s">
        <v>418</v>
      </c>
      <c r="C2912">
        <v>4141584</v>
      </c>
      <c r="D2912">
        <v>94</v>
      </c>
    </row>
    <row r="2913" spans="1:4" x14ac:dyDescent="0.25">
      <c r="A2913" t="str">
        <f>T("   852910")</f>
        <v xml:space="preserve">   852910</v>
      </c>
      <c r="B2913" t="str">
        <f>T("   Antennes et réflecteurs d'antennes de tous types; parties reconnaissables comme étant utilisées conjointement avec ces articles, n.d.a.")</f>
        <v xml:space="preserve">   Antennes et réflecteurs d'antennes de tous types; parties reconnaissables comme étant utilisées conjointement avec ces articles, n.d.a.</v>
      </c>
      <c r="C2913">
        <v>339859</v>
      </c>
      <c r="D2913">
        <v>1290</v>
      </c>
    </row>
    <row r="2914" spans="1:4" x14ac:dyDescent="0.25">
      <c r="A2914" t="str">
        <f>T("   852990")</f>
        <v xml:space="preserve">   852990</v>
      </c>
      <c r="B2914" t="s">
        <v>466</v>
      </c>
      <c r="C2914">
        <v>1041148</v>
      </c>
      <c r="D2914">
        <v>516</v>
      </c>
    </row>
    <row r="2915" spans="1:4" x14ac:dyDescent="0.25">
      <c r="A2915" t="str">
        <f>T("CZ")</f>
        <v>CZ</v>
      </c>
      <c r="B2915" t="str">
        <f>T("Tchèque, République")</f>
        <v>Tchèque, République</v>
      </c>
    </row>
    <row r="2916" spans="1:4" x14ac:dyDescent="0.25">
      <c r="A2916" t="str">
        <f>T("   ZZ_Total_Produit_SH6")</f>
        <v xml:space="preserve">   ZZ_Total_Produit_SH6</v>
      </c>
      <c r="B2916" t="str">
        <f>T("   ZZ_Total_Produit_SH6")</f>
        <v xml:space="preserve">   ZZ_Total_Produit_SH6</v>
      </c>
      <c r="C2916">
        <v>1953861372</v>
      </c>
      <c r="D2916">
        <v>3165151</v>
      </c>
    </row>
    <row r="2917" spans="1:4" x14ac:dyDescent="0.25">
      <c r="A2917" t="str">
        <f>T("   020712")</f>
        <v xml:space="preserve">   020712</v>
      </c>
      <c r="B2917" t="str">
        <f>T("   COQS ET POULES [DES ESPÈCES DOMESTIQUES], NON-DÉCOUPÉS EN MORCEAUX, CONGELÉS")</f>
        <v xml:space="preserve">   COQS ET POULES [DES ESPÈCES DOMESTIQUES], NON-DÉCOUPÉS EN MORCEAUX, CONGELÉS</v>
      </c>
      <c r="C2917">
        <v>624769266</v>
      </c>
      <c r="D2917">
        <v>1005910</v>
      </c>
    </row>
    <row r="2918" spans="1:4" x14ac:dyDescent="0.25">
      <c r="A2918" t="str">
        <f>T("   020714")</f>
        <v xml:space="preserve">   020714</v>
      </c>
      <c r="B2918" t="str">
        <f>T("   Morceaux et abats comestibles de coqs et de poules [des espèces domestiques], congelés")</f>
        <v xml:space="preserve">   Morceaux et abats comestibles de coqs et de poules [des espèces domestiques], congelés</v>
      </c>
      <c r="C2918">
        <v>561082834</v>
      </c>
      <c r="D2918">
        <v>907650</v>
      </c>
    </row>
    <row r="2919" spans="1:4" x14ac:dyDescent="0.25">
      <c r="A2919" t="str">
        <f>T("   020727")</f>
        <v xml:space="preserve">   020727</v>
      </c>
      <c r="B2919" t="str">
        <f>T("   Morceaux et abats comestibles de dindes et dindons [des espèces domestiques], congelés")</f>
        <v xml:space="preserve">   Morceaux et abats comestibles de dindes et dindons [des espèces domestiques], congelés</v>
      </c>
      <c r="C2919">
        <v>698970598</v>
      </c>
      <c r="D2919">
        <v>1123230</v>
      </c>
    </row>
    <row r="2920" spans="1:4" x14ac:dyDescent="0.25">
      <c r="A2920" t="str">
        <f>T("   030374")</f>
        <v xml:space="preserve">   030374</v>
      </c>
      <c r="B2920" t="str">
        <f>T("   Maquereaux [Scomber scombrus, Scomber australasicus, Scomber japonicus], congelés")</f>
        <v xml:space="preserve">   Maquereaux [Scomber scombrus, Scomber australasicus, Scomber japonicus], congelés</v>
      </c>
      <c r="C2920">
        <v>11321738</v>
      </c>
      <c r="D2920">
        <v>50320</v>
      </c>
    </row>
    <row r="2921" spans="1:4" x14ac:dyDescent="0.25">
      <c r="A2921" t="str">
        <f>T("   050400")</f>
        <v xml:space="preserve">   050400</v>
      </c>
      <c r="B2921" t="str">
        <f>T("   Boyaux, vessies et estomacs d'animaux (autres que ceux de poissons), entiers ou en morceaux, à l'état frais, réfrigéré, congelé, salé ou en saumure, séché ou fumé")</f>
        <v xml:space="preserve">   Boyaux, vessies et estomacs d'animaux (autres que ceux de poissons), entiers ou en morceaux, à l'état frais, réfrigéré, congelé, salé ou en saumure, séché ou fumé</v>
      </c>
      <c r="C2921">
        <v>9647204</v>
      </c>
      <c r="D2921">
        <v>9000</v>
      </c>
    </row>
    <row r="2922" spans="1:4" x14ac:dyDescent="0.25">
      <c r="A2922" t="str">
        <f>T("   480300")</f>
        <v xml:space="preserve">   480300</v>
      </c>
      <c r="B2922" t="s">
        <v>194</v>
      </c>
      <c r="C2922">
        <v>10332104</v>
      </c>
      <c r="D2922">
        <v>10000</v>
      </c>
    </row>
    <row r="2923" spans="1:4" x14ac:dyDescent="0.25">
      <c r="A2923" t="str">
        <f>T("   630900")</f>
        <v xml:space="preserve">   630900</v>
      </c>
      <c r="B2923" t="s">
        <v>280</v>
      </c>
      <c r="C2923">
        <v>35904626</v>
      </c>
      <c r="D2923">
        <v>58000</v>
      </c>
    </row>
    <row r="2924" spans="1:4" x14ac:dyDescent="0.25">
      <c r="A2924" t="str">
        <f>T("   842123")</f>
        <v xml:space="preserve">   842123</v>
      </c>
      <c r="B2924" t="str">
        <f>T("   Appareils pour la filtration des huiles minérales et carburants pour les moteurs à allumage par étincelles ou par compression")</f>
        <v xml:space="preserve">   Appareils pour la filtration des huiles minérales et carburants pour les moteurs à allumage par étincelles ou par compression</v>
      </c>
      <c r="C2924">
        <v>228274</v>
      </c>
      <c r="D2924">
        <v>14</v>
      </c>
    </row>
    <row r="2925" spans="1:4" x14ac:dyDescent="0.25">
      <c r="A2925" t="str">
        <f>T("   851110")</f>
        <v xml:space="preserve">   851110</v>
      </c>
      <c r="B2925" t="str">
        <f>T("   Bougies d'allumage pour moteurs à allumage par étincelles ou par compression")</f>
        <v xml:space="preserve">   Bougies d'allumage pour moteurs à allumage par étincelles ou par compression</v>
      </c>
      <c r="C2925">
        <v>232210</v>
      </c>
      <c r="D2925">
        <v>15</v>
      </c>
    </row>
    <row r="2926" spans="1:4" x14ac:dyDescent="0.25">
      <c r="A2926" t="str">
        <f>T("   870322")</f>
        <v xml:space="preserve">   870322</v>
      </c>
      <c r="B2926" t="s">
        <v>475</v>
      </c>
      <c r="C2926">
        <v>1200000</v>
      </c>
      <c r="D2926">
        <v>1000</v>
      </c>
    </row>
    <row r="2927" spans="1:4" x14ac:dyDescent="0.25">
      <c r="A2927" t="str">
        <f>T("   870899")</f>
        <v xml:space="preserve">   870899</v>
      </c>
      <c r="B2927"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2927">
        <v>172518</v>
      </c>
      <c r="D2927">
        <v>12</v>
      </c>
    </row>
    <row r="2928" spans="1:4" x14ac:dyDescent="0.25">
      <c r="A2928" t="str">
        <f>T("DE")</f>
        <v>DE</v>
      </c>
      <c r="B2928" t="str">
        <f>T("Allemagne")</f>
        <v>Allemagne</v>
      </c>
    </row>
    <row r="2929" spans="1:4" x14ac:dyDescent="0.25">
      <c r="A2929" t="str">
        <f>T("   ZZ_Total_Produit_SH6")</f>
        <v xml:space="preserve">   ZZ_Total_Produit_SH6</v>
      </c>
      <c r="B2929" t="str">
        <f>T("   ZZ_Total_Produit_SH6")</f>
        <v xml:space="preserve">   ZZ_Total_Produit_SH6</v>
      </c>
      <c r="C2929">
        <v>21317067201.342999</v>
      </c>
      <c r="D2929">
        <v>39421095.810000002</v>
      </c>
    </row>
    <row r="2930" spans="1:4" x14ac:dyDescent="0.25">
      <c r="A2930" t="str">
        <f>T("   020714")</f>
        <v xml:space="preserve">   020714</v>
      </c>
      <c r="B2930" t="str">
        <f>T("   Morceaux et abats comestibles de coqs et de poules [des espèces domestiques], congelés")</f>
        <v xml:space="preserve">   Morceaux et abats comestibles de coqs et de poules [des espèces domestiques], congelés</v>
      </c>
      <c r="C2930">
        <v>376985039</v>
      </c>
      <c r="D2930">
        <v>608505</v>
      </c>
    </row>
    <row r="2931" spans="1:4" x14ac:dyDescent="0.25">
      <c r="A2931" t="str">
        <f>T("   020726")</f>
        <v xml:space="preserve">   020726</v>
      </c>
      <c r="B2931" t="str">
        <f>T("   Morceaux et abats comestibles de dindes et dindons [des espèces domestiques], frais ou réfrigérés")</f>
        <v xml:space="preserve">   Morceaux et abats comestibles de dindes et dindons [des espèces domestiques], frais ou réfrigérés</v>
      </c>
      <c r="C2931">
        <v>31100000</v>
      </c>
      <c r="D2931">
        <v>57055</v>
      </c>
    </row>
    <row r="2932" spans="1:4" x14ac:dyDescent="0.25">
      <c r="A2932" t="str">
        <f>T("   020727")</f>
        <v xml:space="preserve">   020727</v>
      </c>
      <c r="B2932" t="str">
        <f>T("   Morceaux et abats comestibles de dindes et dindons [des espèces domestiques], congelés")</f>
        <v xml:space="preserve">   Morceaux et abats comestibles de dindes et dindons [des espèces domestiques], congelés</v>
      </c>
      <c r="C2932">
        <v>1158404028</v>
      </c>
      <c r="D2932">
        <v>1860864</v>
      </c>
    </row>
    <row r="2933" spans="1:4" x14ac:dyDescent="0.25">
      <c r="A2933" t="str">
        <f>T("   030350")</f>
        <v xml:space="preserve">   030350</v>
      </c>
      <c r="B2933" t="str">
        <f>T("   Harengs [Clupea harengus, Clupea pallasii], congelés")</f>
        <v xml:space="preserve">   Harengs [Clupea harengus, Clupea pallasii], congelés</v>
      </c>
      <c r="C2933">
        <v>6067612</v>
      </c>
      <c r="D2933">
        <v>26967</v>
      </c>
    </row>
    <row r="2934" spans="1:4" x14ac:dyDescent="0.25">
      <c r="A2934" t="str">
        <f>T("   040110")</f>
        <v xml:space="preserve">   040110</v>
      </c>
      <c r="B2934" t="str">
        <f>T("   LAIT ET CRÈME DE LAIT, NON-CONCENTRÉS NI ADDITIONNÉS DE SUCRE OU D'AUTRES ÉDULCORANTS, D'UNE TENEUR EN POIDS DE MATIÈRES GRASSES &lt;= 1%")</f>
        <v xml:space="preserve">   LAIT ET CRÈME DE LAIT, NON-CONCENTRÉS NI ADDITIONNÉS DE SUCRE OU D'AUTRES ÉDULCORANTS, D'UNE TENEUR EN POIDS DE MATIÈRES GRASSES &lt;= 1%</v>
      </c>
      <c r="C2934">
        <v>170767</v>
      </c>
      <c r="D2934">
        <v>620</v>
      </c>
    </row>
    <row r="2935" spans="1:4" x14ac:dyDescent="0.25">
      <c r="A2935" t="str">
        <f>T("   040120")</f>
        <v xml:space="preserve">   040120</v>
      </c>
      <c r="B2935" t="str">
        <f>T("   LAIT ET CRÈME DE LAIT, NON-CONCENTRÉS NI ADDITIONNÉS DE SUCRE OU D'AUTRES ÉDULCORANTS, D'UNE TENEUR EN POIDS DE MATIÈRES GRASSES &gt; 1% MAIS &lt;= 6%")</f>
        <v xml:space="preserve">   LAIT ET CRÈME DE LAIT, NON-CONCENTRÉS NI ADDITIONNÉS DE SUCRE OU D'AUTRES ÉDULCORANTS, D'UNE TENEUR EN POIDS DE MATIÈRES GRASSES &gt; 1% MAIS &lt;= 6%</v>
      </c>
      <c r="C2935">
        <v>39155334</v>
      </c>
      <c r="D2935">
        <v>83511</v>
      </c>
    </row>
    <row r="2936" spans="1:4" x14ac:dyDescent="0.25">
      <c r="A2936" t="str">
        <f>T("   040221")</f>
        <v xml:space="preserve">   040221</v>
      </c>
      <c r="B2936" t="str">
        <f>T("   Lait et crème de lait, en poudre, en granulés ou sous d'autres formes solides, d'une teneur en poids de matières grasses &gt; 1,5%, sans addition de sucre ou d'autres édulcorants")</f>
        <v xml:space="preserve">   Lait et crème de lait, en poudre, en granulés ou sous d'autres formes solides, d'une teneur en poids de matières grasses &gt; 1,5%, sans addition de sucre ou d'autres édulcorants</v>
      </c>
      <c r="C2936">
        <v>40000440</v>
      </c>
      <c r="D2936">
        <v>8112</v>
      </c>
    </row>
    <row r="2937" spans="1:4" x14ac:dyDescent="0.25">
      <c r="A2937" t="str">
        <f>T("   040229")</f>
        <v xml:space="preserve">   040229</v>
      </c>
      <c r="B2937" t="str">
        <f>T("   Lait et crème de lait, en poudre, en granulés ou sous d'autres formes solides, d'une teneur en poids de matières grasses &gt; 1,5%, avec addition de sucre ou d'autres édulcorants")</f>
        <v xml:space="preserve">   Lait et crème de lait, en poudre, en granulés ou sous d'autres formes solides, d'une teneur en poids de matières grasses &gt; 1,5%, avec addition de sucre ou d'autres édulcorants</v>
      </c>
      <c r="C2937">
        <v>702533</v>
      </c>
      <c r="D2937">
        <v>379</v>
      </c>
    </row>
    <row r="2938" spans="1:4" x14ac:dyDescent="0.25">
      <c r="A2938" t="str">
        <f>T("   040291")</f>
        <v xml:space="preserve">   040291</v>
      </c>
      <c r="B2938" t="str">
        <f>T("   Lait et crème de lait, concentrés, sans addition de sucre ou d'autres édulcorants (à l'excl. des laits et crèmes de lait en poudre, en granulés ou sous d'autres formes solides)")</f>
        <v xml:space="preserve">   Lait et crème de lait, concentrés, sans addition de sucre ou d'autres édulcorants (à l'excl. des laits et crèmes de lait en poudre, en granulés ou sous d'autres formes solides)</v>
      </c>
      <c r="C2938">
        <v>44280000</v>
      </c>
      <c r="D2938">
        <v>58095.199999999997</v>
      </c>
    </row>
    <row r="2939" spans="1:4" x14ac:dyDescent="0.25">
      <c r="A2939" t="str">
        <f>T("   040299")</f>
        <v xml:space="preserve">   040299</v>
      </c>
      <c r="B2939" t="str">
        <f>T("   Lait et crème de lait, concentrés, additionnés de sucre ou d'autres édulcorants (à l'excl. des laits et crèmes de lait en poudre, en granulés ou sous d'autres formes solides)")</f>
        <v xml:space="preserve">   Lait et crème de lait, concentrés, additionnés de sucre ou d'autres édulcorants (à l'excl. des laits et crèmes de lait en poudre, en granulés ou sous d'autres formes solides)</v>
      </c>
      <c r="C2939">
        <v>33722903</v>
      </c>
      <c r="D2939">
        <v>50920</v>
      </c>
    </row>
    <row r="2940" spans="1:4" x14ac:dyDescent="0.25">
      <c r="A2940" t="str">
        <f>T("   050400")</f>
        <v xml:space="preserve">   050400</v>
      </c>
      <c r="B2940" t="str">
        <f>T("   Boyaux, vessies et estomacs d'animaux (autres que ceux de poissons), entiers ou en morceaux, à l'état frais, réfrigéré, congelé, salé ou en saumure, séché ou fumé")</f>
        <v xml:space="preserve">   Boyaux, vessies et estomacs d'animaux (autres que ceux de poissons), entiers ou en morceaux, à l'état frais, réfrigéré, congelé, salé ou en saumure, séché ou fumé</v>
      </c>
      <c r="C2940">
        <v>121232229</v>
      </c>
      <c r="D2940">
        <v>101026</v>
      </c>
    </row>
    <row r="2941" spans="1:4" x14ac:dyDescent="0.25">
      <c r="A2941" t="str">
        <f>T("   070190")</f>
        <v xml:space="preserve">   070190</v>
      </c>
      <c r="B2941" t="str">
        <f>T("   Pommes de terre, à l'état frais ou réfrigéré (à l'excl. des pommes de terre de semence)")</f>
        <v xml:space="preserve">   Pommes de terre, à l'état frais ou réfrigéré (à l'excl. des pommes de terre de semence)</v>
      </c>
      <c r="C2941">
        <v>7920061</v>
      </c>
      <c r="D2941">
        <v>48000</v>
      </c>
    </row>
    <row r="2942" spans="1:4" x14ac:dyDescent="0.25">
      <c r="A2942" t="str">
        <f>T("   110100")</f>
        <v xml:space="preserve">   110100</v>
      </c>
      <c r="B2942" t="str">
        <f>T("   Farines de froment [blé] ou de méteil")</f>
        <v xml:space="preserve">   Farines de froment [blé] ou de méteil</v>
      </c>
      <c r="C2942">
        <v>6374783.5669999998</v>
      </c>
      <c r="D2942">
        <v>23215</v>
      </c>
    </row>
    <row r="2943" spans="1:4" x14ac:dyDescent="0.25">
      <c r="A2943" t="str">
        <f>T("   110710")</f>
        <v xml:space="preserve">   110710</v>
      </c>
      <c r="B2943" t="str">
        <f>T("   MALT, NON-TORRÉFIÉ")</f>
        <v xml:space="preserve">   MALT, NON-TORRÉFIÉ</v>
      </c>
      <c r="C2943">
        <v>317299398</v>
      </c>
      <c r="D2943">
        <v>716642</v>
      </c>
    </row>
    <row r="2944" spans="1:4" x14ac:dyDescent="0.25">
      <c r="A2944" t="str">
        <f>T("   121020")</f>
        <v xml:space="preserve">   121020</v>
      </c>
      <c r="B2944" t="str">
        <f>T("   Cônes de houblon, broyés, moulus ou sous forme de pellets; lupuline")</f>
        <v xml:space="preserve">   Cônes de houblon, broyés, moulus ou sous forme de pellets; lupuline</v>
      </c>
      <c r="C2944">
        <v>4896695</v>
      </c>
      <c r="D2944">
        <v>5479</v>
      </c>
    </row>
    <row r="2945" spans="1:4" x14ac:dyDescent="0.25">
      <c r="A2945" t="str">
        <f>T("   130120")</f>
        <v xml:space="preserve">   130120</v>
      </c>
      <c r="B2945" t="str">
        <f>T("   Gomme arabique")</f>
        <v xml:space="preserve">   Gomme arabique</v>
      </c>
      <c r="C2945">
        <v>1031825</v>
      </c>
      <c r="D2945">
        <v>443</v>
      </c>
    </row>
    <row r="2946" spans="1:4" x14ac:dyDescent="0.25">
      <c r="A2946" t="str">
        <f>T("   130213")</f>
        <v xml:space="preserve">   130213</v>
      </c>
      <c r="B2946" t="str">
        <f>T("   Extraits de houblon")</f>
        <v xml:space="preserve">   Extraits de houblon</v>
      </c>
      <c r="C2946">
        <v>39226585</v>
      </c>
      <c r="D2946">
        <v>1264</v>
      </c>
    </row>
    <row r="2947" spans="1:4" x14ac:dyDescent="0.25">
      <c r="A2947" t="str">
        <f>T("   130220")</f>
        <v xml:space="preserve">   130220</v>
      </c>
      <c r="B2947" t="str">
        <f>T("   Matières pectiques, pectinates et pectates")</f>
        <v xml:space="preserve">   Matières pectiques, pectinates et pectates</v>
      </c>
      <c r="C2947">
        <v>1424090</v>
      </c>
      <c r="D2947">
        <v>780.33</v>
      </c>
    </row>
    <row r="2948" spans="1:4" x14ac:dyDescent="0.25">
      <c r="A2948" t="str">
        <f>T("   130231")</f>
        <v xml:space="preserve">   130231</v>
      </c>
      <c r="B2948" t="str">
        <f>T("   Agar-agar, même modifié")</f>
        <v xml:space="preserve">   Agar-agar, même modifié</v>
      </c>
      <c r="C2948">
        <v>1327288</v>
      </c>
      <c r="D2948">
        <v>4</v>
      </c>
    </row>
    <row r="2949" spans="1:4" x14ac:dyDescent="0.25">
      <c r="A2949" t="str">
        <f>T("   130239")</f>
        <v xml:space="preserve">   130239</v>
      </c>
      <c r="B2949" t="str">
        <f>T("   Mucilages et épaississants dérivés des végétaux, même modifiés (à l'excl. de l'agar-agar et des mucilages et épaississants de caroubes, de graines de caroubes ou de graines de guarée)")</f>
        <v xml:space="preserve">   Mucilages et épaississants dérivés des végétaux, même modifiés (à l'excl. de l'agar-agar et des mucilages et épaississants de caroubes, de graines de caroubes ou de graines de guarée)</v>
      </c>
      <c r="C2949">
        <v>964140</v>
      </c>
      <c r="D2949">
        <v>53</v>
      </c>
    </row>
    <row r="2950" spans="1:4" x14ac:dyDescent="0.25">
      <c r="A2950" t="str">
        <f>T("   151190")</f>
        <v xml:space="preserve">   151190</v>
      </c>
      <c r="B2950" t="str">
        <f>T("   Huile de palme et ses fractions, même raffinées, mais non chimiquement modifiées (à l'excl. de l'huile de palme brute)")</f>
        <v xml:space="preserve">   Huile de palme et ses fractions, même raffinées, mais non chimiquement modifiées (à l'excl. de l'huile de palme brute)</v>
      </c>
      <c r="C2950">
        <v>118097363.77599999</v>
      </c>
      <c r="D2950">
        <v>311761.40000000002</v>
      </c>
    </row>
    <row r="2951" spans="1:4" x14ac:dyDescent="0.25">
      <c r="A2951" t="str">
        <f>T("   160100")</f>
        <v xml:space="preserve">   160100</v>
      </c>
      <c r="B2951" t="str">
        <f>T("   Saucisses, saucissons et produits simil., de viande, d'abats ou de sang; préparations alimentaires à base de ces produits")</f>
        <v xml:space="preserve">   Saucisses, saucissons et produits simil., de viande, d'abats ou de sang; préparations alimentaires à base de ces produits</v>
      </c>
      <c r="C2951">
        <v>19498500</v>
      </c>
      <c r="D2951">
        <v>25998</v>
      </c>
    </row>
    <row r="2952" spans="1:4" x14ac:dyDescent="0.25">
      <c r="A2952" t="str">
        <f>T("   170290")</f>
        <v xml:space="preserve">   170290</v>
      </c>
      <c r="B2952" t="s">
        <v>44</v>
      </c>
      <c r="C2952">
        <v>1470006</v>
      </c>
      <c r="D2952">
        <v>989</v>
      </c>
    </row>
    <row r="2953" spans="1:4" x14ac:dyDescent="0.25">
      <c r="A2953" t="str">
        <f>T("   170490")</f>
        <v xml:space="preserve">   170490</v>
      </c>
      <c r="B2953" t="str">
        <f>T("   Sucreries sans cacao, y.c. le chocolat blanc (à l'excl. des gommes à mâcher)")</f>
        <v xml:space="preserve">   Sucreries sans cacao, y.c. le chocolat blanc (à l'excl. des gommes à mâcher)</v>
      </c>
      <c r="C2953">
        <v>65596</v>
      </c>
      <c r="D2953">
        <v>30</v>
      </c>
    </row>
    <row r="2954" spans="1:4" x14ac:dyDescent="0.25">
      <c r="A2954" t="str">
        <f>T("   190590")</f>
        <v xml:space="preserve">   190590</v>
      </c>
      <c r="B2954" t="s">
        <v>50</v>
      </c>
      <c r="C2954">
        <v>5421538</v>
      </c>
      <c r="D2954">
        <v>19652</v>
      </c>
    </row>
    <row r="2955" spans="1:4" x14ac:dyDescent="0.25">
      <c r="A2955" t="str">
        <f>T("   200290")</f>
        <v xml:space="preserve">   200290</v>
      </c>
      <c r="B2955" t="str">
        <f>T("   Tomates, préparées ou conservées autrement qu'au vinaigre ou à l'acide acétique (à l'excl. des tomates entières ou en morceaux)")</f>
        <v xml:space="preserve">   Tomates, préparées ou conservées autrement qu'au vinaigre ou à l'acide acétique (à l'excl. des tomates entières ou en morceaux)</v>
      </c>
      <c r="C2955">
        <v>7563478</v>
      </c>
      <c r="D2955">
        <v>21923</v>
      </c>
    </row>
    <row r="2956" spans="1:4" x14ac:dyDescent="0.25">
      <c r="A2956" t="str">
        <f>T("   200580")</f>
        <v xml:space="preserve">   200580</v>
      </c>
      <c r="B2956" t="str">
        <f>T("   Maïs doux [Zea mays var. saccharata], préparé ou conservé autrement qu'au vinaigre ou à l'acide acétique, non congelé")</f>
        <v xml:space="preserve">   Maïs doux [Zea mays var. saccharata], préparé ou conservé autrement qu'au vinaigre ou à l'acide acétique, non congelé</v>
      </c>
      <c r="C2956">
        <v>18729570</v>
      </c>
      <c r="D2956">
        <v>63192</v>
      </c>
    </row>
    <row r="2957" spans="1:4" x14ac:dyDescent="0.25">
      <c r="A2957" t="str">
        <f>T("   200990")</f>
        <v xml:space="preserve">   200990</v>
      </c>
      <c r="B2957" t="str">
        <f>T("   MÉLANGES DE JUS DE FRUITS - Y.C. LES MOÛTS DE RAISIN - ET DE JUS DE LÉGUMES, NON-FERMENTÉS, SANS ADDITION D'ALCOOL, AVEC OU SANS ADDITION DE SUCRE OU D'AUTRES ÉDULCORANTS")</f>
        <v xml:space="preserve">   MÉLANGES DE JUS DE FRUITS - Y.C. LES MOÛTS DE RAISIN - ET DE JUS DE LÉGUMES, NON-FERMENTÉS, SANS ADDITION D'ALCOOL, AVEC OU SANS ADDITION DE SUCRE OU D'AUTRES ÉDULCORANTS</v>
      </c>
      <c r="C2957">
        <v>20000</v>
      </c>
      <c r="D2957">
        <v>20</v>
      </c>
    </row>
    <row r="2958" spans="1:4" x14ac:dyDescent="0.25">
      <c r="A2958" t="str">
        <f>T("   210210")</f>
        <v xml:space="preserve">   210210</v>
      </c>
      <c r="B2958" t="str">
        <f>T("   Levures vivantes")</f>
        <v xml:space="preserve">   Levures vivantes</v>
      </c>
      <c r="C2958">
        <v>394569</v>
      </c>
      <c r="D2958">
        <v>115</v>
      </c>
    </row>
    <row r="2959" spans="1:4" x14ac:dyDescent="0.25">
      <c r="A2959" t="str">
        <f>T("   210690")</f>
        <v xml:space="preserve">   210690</v>
      </c>
      <c r="B2959" t="str">
        <f>T("   Préparations alimentaires, n.d.a.")</f>
        <v xml:space="preserve">   Préparations alimentaires, n.d.a.</v>
      </c>
      <c r="C2959">
        <v>154403465</v>
      </c>
      <c r="D2959">
        <v>58761</v>
      </c>
    </row>
    <row r="2960" spans="1:4" x14ac:dyDescent="0.25">
      <c r="A2960" t="str">
        <f>T("   220290")</f>
        <v xml:space="preserve">   220290</v>
      </c>
      <c r="B2960" t="str">
        <f>T("   BOISSONS NON-ALCOOLIQUES (À L'EXCL. DES EAUX, DES JUS DE FRUITS OU DE LÉGUMES AINSI QUE DU LAIT)")</f>
        <v xml:space="preserve">   BOISSONS NON-ALCOOLIQUES (À L'EXCL. DES EAUX, DES JUS DE FRUITS OU DE LÉGUMES AINSI QUE DU LAIT)</v>
      </c>
      <c r="C2960">
        <v>113866137</v>
      </c>
      <c r="D2960">
        <v>517745</v>
      </c>
    </row>
    <row r="2961" spans="1:4" x14ac:dyDescent="0.25">
      <c r="A2961" t="str">
        <f>T("   220300")</f>
        <v xml:space="preserve">   220300</v>
      </c>
      <c r="B2961" t="str">
        <f>T("   Bières de malt")</f>
        <v xml:space="preserve">   Bières de malt</v>
      </c>
      <c r="C2961">
        <v>119753796</v>
      </c>
      <c r="D2961">
        <v>469365</v>
      </c>
    </row>
    <row r="2962" spans="1:4" x14ac:dyDescent="0.25">
      <c r="A2962" t="str">
        <f>T("   220429")</f>
        <v xml:space="preserve">   220429</v>
      </c>
      <c r="B2962" t="str">
        <f>T("   VINS DE RAISINS FRAIS, Y.C. LES VINS ENRICHIS EN ALCOOL, ET MOÛTS DE RAISINS DONT LA FERMENTATION A ÉTÉ EMPÊCHÉE OU ARRÊTÉE PAR ADDITION D'ALCOOL, EN RÉCIPIENTS D'UNE CONTENANCE &gt; 2 L (À L'EXCL. DES VINS MOUSSEUX)")</f>
        <v xml:space="preserve">   VINS DE RAISINS FRAIS, Y.C. LES VINS ENRICHIS EN ALCOOL, ET MOÛTS DE RAISINS DONT LA FERMENTATION A ÉTÉ EMPÊCHÉE OU ARRÊTÉE PAR ADDITION D'ALCOOL, EN RÉCIPIENTS D'UNE CONTENANCE &gt; 2 L (À L'EXCL. DES VINS MOUSSEUX)</v>
      </c>
      <c r="C2962">
        <v>3542184</v>
      </c>
      <c r="D2962">
        <v>7998</v>
      </c>
    </row>
    <row r="2963" spans="1:4" x14ac:dyDescent="0.25">
      <c r="A2963" t="str">
        <f>T("   220600")</f>
        <v xml:space="preserve">   220600</v>
      </c>
      <c r="B2963" t="s">
        <v>57</v>
      </c>
      <c r="C2963">
        <v>15201890</v>
      </c>
      <c r="D2963">
        <v>78724</v>
      </c>
    </row>
    <row r="2964" spans="1:4" x14ac:dyDescent="0.25">
      <c r="A2964" t="str">
        <f>T("   220890")</f>
        <v xml:space="preserve">   220890</v>
      </c>
      <c r="B2964" t="s">
        <v>58</v>
      </c>
      <c r="C2964">
        <v>1507285</v>
      </c>
      <c r="D2964">
        <v>2266</v>
      </c>
    </row>
    <row r="2965" spans="1:4" x14ac:dyDescent="0.25">
      <c r="A2965" t="str">
        <f>T("   251200")</f>
        <v xml:space="preserve">   251200</v>
      </c>
      <c r="B2965" t="str">
        <f>T("   Farines siliceuses fossiles [kieselguhr, tripolite, diatomite, par exemple] et autres terres siliceuses analogues, d'une densité apparente &lt;= 1, même calcinées")</f>
        <v xml:space="preserve">   Farines siliceuses fossiles [kieselguhr, tripolite, diatomite, par exemple] et autres terres siliceuses analogues, d'une densité apparente &lt;= 1, même calcinées</v>
      </c>
      <c r="C2965">
        <v>2367635</v>
      </c>
      <c r="D2965">
        <v>3349</v>
      </c>
    </row>
    <row r="2966" spans="1:4" x14ac:dyDescent="0.25">
      <c r="A2966" t="str">
        <f>T("   270500")</f>
        <v xml:space="preserve">   270500</v>
      </c>
      <c r="B2966" t="str">
        <f>T("   Gaz de houille, gaz à l'eau, gaz pauvre et gaz simil. (à l'excl. des gaz de pétrole et autres hydrocarbures gazeux)")</f>
        <v xml:space="preserve">   Gaz de houille, gaz à l'eau, gaz pauvre et gaz simil. (à l'excl. des gaz de pétrole et autres hydrocarbures gazeux)</v>
      </c>
      <c r="C2966">
        <v>6746549</v>
      </c>
      <c r="D2966">
        <v>300</v>
      </c>
    </row>
    <row r="2967" spans="1:4" x14ac:dyDescent="0.25">
      <c r="A2967" t="str">
        <f>T("   271011")</f>
        <v xml:space="preserve">   271011</v>
      </c>
      <c r="B2967" t="str">
        <f>T("   HUILES LÉGÈRES ET PRÉPARATIONS DE PÉTROLE OU DE MINÉRAUX BITUMINEUX DISTILLANT EN VOLUME, Y.C. LES PERTES, &gt;= 90% À 210°C, D'APRÈS LA MÉTHODE ASTM D 86")</f>
        <v xml:space="preserve">   HUILES LÉGÈRES ET PRÉPARATIONS DE PÉTROLE OU DE MINÉRAUX BITUMINEUX DISTILLANT EN VOLUME, Y.C. LES PERTES, &gt;= 90% À 210°C, D'APRÈS LA MÉTHODE ASTM D 86</v>
      </c>
      <c r="C2967">
        <v>668159070</v>
      </c>
      <c r="D2967">
        <v>1920237</v>
      </c>
    </row>
    <row r="2968" spans="1:4" x14ac:dyDescent="0.25">
      <c r="A2968" t="str">
        <f>T("   271019")</f>
        <v xml:space="preserve">   271019</v>
      </c>
      <c r="B2968" t="str">
        <f>T("   Huiles moyennes et préparations, de pétrole ou de minéraux bitumineux, n.d.a.")</f>
        <v xml:space="preserve">   Huiles moyennes et préparations, de pétrole ou de minéraux bitumineux, n.d.a.</v>
      </c>
      <c r="C2968">
        <v>1250274800</v>
      </c>
      <c r="D2968">
        <v>5008362</v>
      </c>
    </row>
    <row r="2969" spans="1:4" x14ac:dyDescent="0.25">
      <c r="A2969" t="str">
        <f>T("   271113")</f>
        <v xml:space="preserve">   271113</v>
      </c>
      <c r="B2969" t="str">
        <f>T("   Butanes, liquéfiés (à l'excl. des butanes d'une pureté &gt;= 95% en n-butane ou en isobutane)")</f>
        <v xml:space="preserve">   Butanes, liquéfiés (à l'excl. des butanes d'une pureté &gt;= 95% en n-butane ou en isobutane)</v>
      </c>
      <c r="C2969">
        <v>108799468</v>
      </c>
      <c r="D2969">
        <v>401909</v>
      </c>
    </row>
    <row r="2970" spans="1:4" x14ac:dyDescent="0.25">
      <c r="A2970" t="str">
        <f>T("   271210")</f>
        <v xml:space="preserve">   271210</v>
      </c>
      <c r="B2970" t="str">
        <f>T("   Vaseline")</f>
        <v xml:space="preserve">   Vaseline</v>
      </c>
      <c r="C2970">
        <v>14665954</v>
      </c>
      <c r="D2970">
        <v>17120</v>
      </c>
    </row>
    <row r="2971" spans="1:4" x14ac:dyDescent="0.25">
      <c r="A2971" t="str">
        <f>T("   280700")</f>
        <v xml:space="preserve">   280700</v>
      </c>
      <c r="B2971" t="str">
        <f>T("   Acide sulfurique; oléum")</f>
        <v xml:space="preserve">   Acide sulfurique; oléum</v>
      </c>
      <c r="C2971">
        <v>17225535</v>
      </c>
      <c r="D2971">
        <v>101746</v>
      </c>
    </row>
    <row r="2972" spans="1:4" x14ac:dyDescent="0.25">
      <c r="A2972" t="str">
        <f>T("   281122")</f>
        <v xml:space="preserve">   281122</v>
      </c>
      <c r="B2972" t="str">
        <f>T("   Dioxyde de silicium")</f>
        <v xml:space="preserve">   Dioxyde de silicium</v>
      </c>
      <c r="C2972">
        <v>4039468</v>
      </c>
      <c r="D2972">
        <v>1945</v>
      </c>
    </row>
    <row r="2973" spans="1:4" x14ac:dyDescent="0.25">
      <c r="A2973" t="str">
        <f>T("   282110")</f>
        <v xml:space="preserve">   282110</v>
      </c>
      <c r="B2973" t="str">
        <f>T("   Oxydes et hydroxydes de fer")</f>
        <v xml:space="preserve">   Oxydes et hydroxydes de fer</v>
      </c>
      <c r="C2973">
        <v>15008332</v>
      </c>
      <c r="D2973">
        <v>12065</v>
      </c>
    </row>
    <row r="2974" spans="1:4" x14ac:dyDescent="0.25">
      <c r="A2974" t="str">
        <f>T("   282739")</f>
        <v xml:space="preserve">   282739</v>
      </c>
      <c r="B2974" t="str">
        <f>T("   CHLORURES (À L'EXCL. DES CHLORURES D'AMMONIUM, DE CALCIUM, DE MAGNÉSIUM, D'ALUMINIUM, DE NICKEL ET DE MERCURE)")</f>
        <v xml:space="preserve">   CHLORURES (À L'EXCL. DES CHLORURES D'AMMONIUM, DE CALCIUM, DE MAGNÉSIUM, D'ALUMINIUM, DE NICKEL ET DE MERCURE)</v>
      </c>
      <c r="C2974">
        <v>349052</v>
      </c>
      <c r="D2974">
        <v>2</v>
      </c>
    </row>
    <row r="2975" spans="1:4" x14ac:dyDescent="0.25">
      <c r="A2975" t="str">
        <f>T("   282759")</f>
        <v xml:space="preserve">   282759</v>
      </c>
      <c r="B2975" t="str">
        <f>T("   Bromures et oxybromures (à l'excl. des bromures de sodium ou de potassium)")</f>
        <v xml:space="preserve">   Bromures et oxybromures (à l'excl. des bromures de sodium ou de potassium)</v>
      </c>
      <c r="C2975">
        <v>99915</v>
      </c>
      <c r="D2975">
        <v>0.25</v>
      </c>
    </row>
    <row r="2976" spans="1:4" x14ac:dyDescent="0.25">
      <c r="A2976" t="str">
        <f>T("   282990")</f>
        <v xml:space="preserve">   282990</v>
      </c>
      <c r="B2976" t="str">
        <f>T("   PERCHLORATES; BROMATES ET PERBROMATES; IODATES ET PERIODATES (À L'EXCL. DES COMPOSÉS INORGANIQUES OU ORGANIQUES DU MERCURE)")</f>
        <v xml:space="preserve">   PERCHLORATES; BROMATES ET PERBROMATES; IODATES ET PERIODATES (À L'EXCL. DES COMPOSÉS INORGANIQUES OU ORGANIQUES DU MERCURE)</v>
      </c>
      <c r="C2976">
        <v>235940940</v>
      </c>
      <c r="D2976">
        <v>40000</v>
      </c>
    </row>
    <row r="2977" spans="1:4" x14ac:dyDescent="0.25">
      <c r="A2977" t="str">
        <f>T("   283329")</f>
        <v xml:space="preserve">   283329</v>
      </c>
      <c r="B2977" t="str">
        <f>T("   SULFATES (AUTRES QUE DE SODIUM, DE MAGNÉSIUM, D'ALUMINIUM, DE NICKEL, DE CUIVRE, DE BARYUM OU DE MERCURE)")</f>
        <v xml:space="preserve">   SULFATES (AUTRES QUE DE SODIUM, DE MAGNÉSIUM, D'ALUMINIUM, DE NICKEL, DE CUIVRE, DE BARYUM OU DE MERCURE)</v>
      </c>
      <c r="C2977">
        <v>538871</v>
      </c>
      <c r="D2977">
        <v>28</v>
      </c>
    </row>
    <row r="2978" spans="1:4" x14ac:dyDescent="0.25">
      <c r="A2978" t="str">
        <f>T("   290512")</f>
        <v xml:space="preserve">   290512</v>
      </c>
      <c r="B2978" t="str">
        <f>T("   Propane-1-ol [alcool propylique] et propane-2-ol [alcool isopropylique]")</f>
        <v xml:space="preserve">   Propane-1-ol [alcool propylique] et propane-2-ol [alcool isopropylique]</v>
      </c>
      <c r="C2978">
        <v>2922958</v>
      </c>
      <c r="D2978">
        <v>1000</v>
      </c>
    </row>
    <row r="2979" spans="1:4" x14ac:dyDescent="0.25">
      <c r="A2979" t="str">
        <f>T("   291411")</f>
        <v xml:space="preserve">   291411</v>
      </c>
      <c r="B2979" t="str">
        <f>T("   Acétone")</f>
        <v xml:space="preserve">   Acétone</v>
      </c>
      <c r="C2979">
        <v>374631</v>
      </c>
      <c r="D2979">
        <v>5</v>
      </c>
    </row>
    <row r="2980" spans="1:4" x14ac:dyDescent="0.25">
      <c r="A2980" t="str">
        <f>T("   291533")</f>
        <v xml:space="preserve">   291533</v>
      </c>
      <c r="B2980" t="str">
        <f>T("   Acétate de n-butyle")</f>
        <v xml:space="preserve">   Acétate de n-butyle</v>
      </c>
      <c r="C2980">
        <v>413911</v>
      </c>
      <c r="D2980">
        <v>159</v>
      </c>
    </row>
    <row r="2981" spans="1:4" x14ac:dyDescent="0.25">
      <c r="A2981" t="str">
        <f>T("   291814")</f>
        <v xml:space="preserve">   291814</v>
      </c>
      <c r="B2981" t="str">
        <f>T("   Acide citrique")</f>
        <v xml:space="preserve">   Acide citrique</v>
      </c>
      <c r="C2981">
        <v>8007304</v>
      </c>
      <c r="D2981">
        <v>6048</v>
      </c>
    </row>
    <row r="2982" spans="1:4" x14ac:dyDescent="0.25">
      <c r="A2982" t="str">
        <f>T("   292910")</f>
        <v xml:space="preserve">   292910</v>
      </c>
      <c r="B2982" t="str">
        <f>T("   Isocyanates")</f>
        <v xml:space="preserve">   Isocyanates</v>
      </c>
      <c r="C2982">
        <v>64490051</v>
      </c>
      <c r="D2982">
        <v>40000</v>
      </c>
    </row>
    <row r="2983" spans="1:4" x14ac:dyDescent="0.25">
      <c r="A2983" t="str">
        <f>T("   293420")</f>
        <v xml:space="preserve">   293420</v>
      </c>
      <c r="B2983" t="str">
        <f>T("   COMPOSÉS HÉTÉROCYCLIQUES COMPORTANT UNE STRUCTURE À CYCLES BENZOTHIAZOLE, HYDROGÉNÉS OU NON, SANS AUTRES CONDENSATIONS (À L'EXCL. DES COMPOSÉS INORGANIQUES OU ORGANIQUES DU MERCURE)")</f>
        <v xml:space="preserve">   COMPOSÉS HÉTÉROCYCLIQUES COMPORTANT UNE STRUCTURE À CYCLES BENZOTHIAZOLE, HYDROGÉNÉS OU NON, SANS AUTRES CONDENSATIONS (À L'EXCL. DES COMPOSÉS INORGANIQUES OU ORGANIQUES DU MERCURE)</v>
      </c>
      <c r="C2983">
        <v>9335104</v>
      </c>
      <c r="D2983">
        <v>40248</v>
      </c>
    </row>
    <row r="2984" spans="1:4" x14ac:dyDescent="0.25">
      <c r="A2984" t="str">
        <f>T("   293626")</f>
        <v xml:space="preserve">   293626</v>
      </c>
      <c r="B2984" t="str">
        <f>T("   Vitamine B12 et ses dérivés utilisés principalement en tant que vitamines")</f>
        <v xml:space="preserve">   Vitamine B12 et ses dérivés utilisés principalement en tant que vitamines</v>
      </c>
      <c r="C2984">
        <v>42506</v>
      </c>
      <c r="D2984">
        <v>6</v>
      </c>
    </row>
    <row r="2985" spans="1:4" x14ac:dyDescent="0.25">
      <c r="A2985" t="str">
        <f>T("   300210")</f>
        <v xml:space="preserve">   300210</v>
      </c>
      <c r="B2985" t="str">
        <f>T("   Antisérums, autres fractions du sang, produits immunologiques modifiés, même obtenus par voie biotechnologique")</f>
        <v xml:space="preserve">   Antisérums, autres fractions du sang, produits immunologiques modifiés, même obtenus par voie biotechnologique</v>
      </c>
      <c r="C2985">
        <v>6736004</v>
      </c>
      <c r="D2985">
        <v>90</v>
      </c>
    </row>
    <row r="2986" spans="1:4" x14ac:dyDescent="0.25">
      <c r="A2986" t="str">
        <f>T("   300220")</f>
        <v xml:space="preserve">   300220</v>
      </c>
      <c r="B2986" t="str">
        <f>T("   Vaccins pour la médecine humaine")</f>
        <v xml:space="preserve">   Vaccins pour la médecine humaine</v>
      </c>
      <c r="C2986">
        <v>5252245</v>
      </c>
      <c r="D2986">
        <v>97</v>
      </c>
    </row>
    <row r="2987" spans="1:4" x14ac:dyDescent="0.25">
      <c r="A2987" t="str">
        <f>T("   300490")</f>
        <v xml:space="preserve">   300490</v>
      </c>
      <c r="B2987" t="s">
        <v>78</v>
      </c>
      <c r="C2987">
        <v>318270570</v>
      </c>
      <c r="D2987">
        <v>21210</v>
      </c>
    </row>
    <row r="2988" spans="1:4" x14ac:dyDescent="0.25">
      <c r="A2988" t="str">
        <f>T("   300510")</f>
        <v xml:space="preserve">   300510</v>
      </c>
      <c r="B2988" t="str">
        <f>T("   Pansements adhésifs et autres articles ayant une couche adhésive, imprégnés ou recouverts de substances pharmaceutiques ou conditionnés pour la vente au détail à des fins médicales, chirurgicales, dentaires ou vétérinaires")</f>
        <v xml:space="preserve">   Pansements adhésifs et autres articles ayant une couche adhésive, imprégnés ou recouverts de substances pharmaceutiques ou conditionnés pour la vente au détail à des fins médicales, chirurgicales, dentaires ou vétérinaires</v>
      </c>
      <c r="C2988">
        <v>107578</v>
      </c>
      <c r="D2988">
        <v>38</v>
      </c>
    </row>
    <row r="2989" spans="1:4" x14ac:dyDescent="0.25">
      <c r="A2989" t="str">
        <f>T("   300590")</f>
        <v xml:space="preserve">   300590</v>
      </c>
      <c r="B2989" t="s">
        <v>79</v>
      </c>
      <c r="C2989">
        <v>25510022</v>
      </c>
      <c r="D2989">
        <v>2500</v>
      </c>
    </row>
    <row r="2990" spans="1:4" x14ac:dyDescent="0.25">
      <c r="A2990" t="str">
        <f>T("   300670")</f>
        <v xml:space="preserve">   300670</v>
      </c>
      <c r="B2990" t="s">
        <v>81</v>
      </c>
      <c r="C2990">
        <v>632346</v>
      </c>
      <c r="D2990">
        <v>52</v>
      </c>
    </row>
    <row r="2991" spans="1:4" x14ac:dyDescent="0.25">
      <c r="A2991" t="str">
        <f>T("   320890")</f>
        <v xml:space="preserve">   320890</v>
      </c>
      <c r="B2991" t="s">
        <v>96</v>
      </c>
      <c r="C2991">
        <v>1665483</v>
      </c>
      <c r="D2991">
        <v>998</v>
      </c>
    </row>
    <row r="2992" spans="1:4" x14ac:dyDescent="0.25">
      <c r="A2992" t="str">
        <f>T("   321590")</f>
        <v xml:space="preserve">   321590</v>
      </c>
      <c r="B2992" t="str">
        <f>T("   Encres à écrire et à dessiner, même concentrées ou sous formes solides")</f>
        <v xml:space="preserve">   Encres à écrire et à dessiner, même concentrées ou sous formes solides</v>
      </c>
      <c r="C2992">
        <v>1063311</v>
      </c>
      <c r="D2992">
        <v>82</v>
      </c>
    </row>
    <row r="2993" spans="1:4" x14ac:dyDescent="0.25">
      <c r="A2993" t="str">
        <f>T("   330210")</f>
        <v xml:space="preserve">   330210</v>
      </c>
      <c r="B2993" t="str">
        <f>T("   Mélanges de substances odoriférantes et mélanges, y.c. les solutions alcooliques, à base d'une ou de plusieurs de ces substances, des types utilisés comme matières de base pour les industries des produits alimentaires et des boissons")</f>
        <v xml:space="preserve">   Mélanges de substances odoriférantes et mélanges, y.c. les solutions alcooliques, à base d'une ou de plusieurs de ces substances, des types utilisés comme matières de base pour les industries des produits alimentaires et des boissons</v>
      </c>
      <c r="C2993">
        <v>251710839</v>
      </c>
      <c r="D2993">
        <v>34585</v>
      </c>
    </row>
    <row r="2994" spans="1:4" x14ac:dyDescent="0.25">
      <c r="A2994" t="str">
        <f>T("   330290")</f>
        <v xml:space="preserve">   330290</v>
      </c>
      <c r="B2994" t="s">
        <v>99</v>
      </c>
      <c r="C2994">
        <v>2349649</v>
      </c>
      <c r="D2994">
        <v>1088</v>
      </c>
    </row>
    <row r="2995" spans="1:4" x14ac:dyDescent="0.25">
      <c r="A2995" t="str">
        <f>T("   330410")</f>
        <v xml:space="preserve">   330410</v>
      </c>
      <c r="B2995" t="str">
        <f>T("   Produits de maquillage pour les lèvres")</f>
        <v xml:space="preserve">   Produits de maquillage pour les lèvres</v>
      </c>
      <c r="C2995">
        <v>1421465</v>
      </c>
      <c r="D2995">
        <v>363</v>
      </c>
    </row>
    <row r="2996" spans="1:4" x14ac:dyDescent="0.25">
      <c r="A2996" t="str">
        <f>T("   330420")</f>
        <v xml:space="preserve">   330420</v>
      </c>
      <c r="B2996" t="str">
        <f>T("   Produits de maquillage pour les yeux")</f>
        <v xml:space="preserve">   Produits de maquillage pour les yeux</v>
      </c>
      <c r="C2996">
        <v>1033138</v>
      </c>
      <c r="D2996">
        <v>362</v>
      </c>
    </row>
    <row r="2997" spans="1:4" x14ac:dyDescent="0.25">
      <c r="A2997" t="str">
        <f>T("   330499")</f>
        <v xml:space="preserve">   330499</v>
      </c>
      <c r="B2997" t="s">
        <v>100</v>
      </c>
      <c r="C2997">
        <v>25761517</v>
      </c>
      <c r="D2997">
        <v>14857</v>
      </c>
    </row>
    <row r="2998" spans="1:4" x14ac:dyDescent="0.25">
      <c r="A2998" t="str">
        <f>T("   330510")</f>
        <v xml:space="preserve">   330510</v>
      </c>
      <c r="B2998" t="str">
        <f>T("   Shampooings")</f>
        <v xml:space="preserve">   Shampooings</v>
      </c>
      <c r="C2998">
        <v>72812</v>
      </c>
      <c r="D2998">
        <v>19</v>
      </c>
    </row>
    <row r="2999" spans="1:4" x14ac:dyDescent="0.25">
      <c r="A2999" t="str">
        <f>T("   330590")</f>
        <v xml:space="preserve">   330590</v>
      </c>
      <c r="B2999" t="str">
        <f>T("   PRÉPARATIONS CAPILLAIRES (À L'EXCL. DES SHAMPOOINGS, DES LAQUES POUR CHEVEUX ET DES PRÉPARATIONS POUR L'ONDULATION OU LE DÉFRISAGE PERMANENTS)")</f>
        <v xml:space="preserve">   PRÉPARATIONS CAPILLAIRES (À L'EXCL. DES SHAMPOOINGS, DES LAQUES POUR CHEVEUX ET DES PRÉPARATIONS POUR L'ONDULATION OU LE DÉFRISAGE PERMANENTS)</v>
      </c>
      <c r="C2999">
        <v>144312</v>
      </c>
      <c r="D2999">
        <v>51</v>
      </c>
    </row>
    <row r="3000" spans="1:4" x14ac:dyDescent="0.25">
      <c r="A3000" t="str">
        <f>T("   330690")</f>
        <v xml:space="preserve">   330690</v>
      </c>
      <c r="B3000" t="str">
        <f>T("   Préparations pour l'hygiène buccale ou dentaire, y.c. les poudres et crèmes pour faciliter l'adhérence des dentiers (à l'excl. des dentifrices et des fils utilisés pour nettoyer les espaces interdentaires [fils dentaires])")</f>
        <v xml:space="preserve">   Préparations pour l'hygiène buccale ou dentaire, y.c. les poudres et crèmes pour faciliter l'adhérence des dentiers (à l'excl. des dentifrices et des fils utilisés pour nettoyer les espaces interdentaires [fils dentaires])</v>
      </c>
      <c r="C3000">
        <v>97082</v>
      </c>
      <c r="D3000">
        <v>8</v>
      </c>
    </row>
    <row r="3001" spans="1:4" x14ac:dyDescent="0.25">
      <c r="A3001" t="str">
        <f>T("   330720")</f>
        <v xml:space="preserve">   330720</v>
      </c>
      <c r="B3001" t="str">
        <f>T("   Désodorisants corporels et antisudoraux, préparés")</f>
        <v xml:space="preserve">   Désodorisants corporels et antisudoraux, préparés</v>
      </c>
      <c r="C3001">
        <v>10999138</v>
      </c>
      <c r="D3001">
        <v>2924</v>
      </c>
    </row>
    <row r="3002" spans="1:4" x14ac:dyDescent="0.25">
      <c r="A3002" t="str">
        <f>T("   340111")</f>
        <v xml:space="preserve">   340111</v>
      </c>
      <c r="B3002" t="s">
        <v>101</v>
      </c>
      <c r="C3002">
        <v>165395921</v>
      </c>
      <c r="D3002">
        <v>624123</v>
      </c>
    </row>
    <row r="3003" spans="1:4" x14ac:dyDescent="0.25">
      <c r="A3003" t="str">
        <f>T("   340120")</f>
        <v xml:space="preserve">   340120</v>
      </c>
      <c r="B3003" t="str">
        <f>T("   Savons en flocons, en paillettes, en granulés ou en poudres et savons liquides ou pâteux")</f>
        <v xml:space="preserve">   Savons en flocons, en paillettes, en granulés ou en poudres et savons liquides ou pâteux</v>
      </c>
      <c r="C3003">
        <v>550744</v>
      </c>
      <c r="D3003">
        <v>3384</v>
      </c>
    </row>
    <row r="3004" spans="1:4" x14ac:dyDescent="0.25">
      <c r="A3004" t="str">
        <f>T("   340130")</f>
        <v xml:space="preserve">   340130</v>
      </c>
      <c r="B3004" t="str">
        <f>T("   Produits et préparations organiques tensio-actifs destinés au lavage de la peau, sous forme de liquide ou de crème, conditionnés pour la vente au détail, même contenant  du savon")</f>
        <v xml:space="preserve">   Produits et préparations organiques tensio-actifs destinés au lavage de la peau, sous forme de liquide ou de crème, conditionnés pour la vente au détail, même contenant  du savon</v>
      </c>
      <c r="C3004">
        <v>1185124</v>
      </c>
      <c r="D3004">
        <v>419</v>
      </c>
    </row>
    <row r="3005" spans="1:4" x14ac:dyDescent="0.25">
      <c r="A3005" t="str">
        <f>T("   340213")</f>
        <v xml:space="preserve">   340213</v>
      </c>
      <c r="B3005" t="str">
        <f>T("   Agents de surface organiques, non ioniques, même conditionnés pour la vente au détail (à l'excl. des savons)")</f>
        <v xml:space="preserve">   Agents de surface organiques, non ioniques, même conditionnés pour la vente au détail (à l'excl. des savons)</v>
      </c>
      <c r="C3005">
        <v>57291</v>
      </c>
      <c r="D3005">
        <v>12</v>
      </c>
    </row>
    <row r="3006" spans="1:4" x14ac:dyDescent="0.25">
      <c r="A3006" t="str">
        <f>T("   340220")</f>
        <v xml:space="preserve">   340220</v>
      </c>
      <c r="B3006" t="s">
        <v>103</v>
      </c>
      <c r="C3006">
        <v>719289</v>
      </c>
      <c r="D3006">
        <v>55</v>
      </c>
    </row>
    <row r="3007" spans="1:4" x14ac:dyDescent="0.25">
      <c r="A3007" t="str">
        <f>T("   340290")</f>
        <v xml:space="preserve">   340290</v>
      </c>
      <c r="B3007" t="s">
        <v>104</v>
      </c>
      <c r="C3007">
        <v>16577948</v>
      </c>
      <c r="D3007">
        <v>22187</v>
      </c>
    </row>
    <row r="3008" spans="1:4" x14ac:dyDescent="0.25">
      <c r="A3008" t="str">
        <f>T("   340399")</f>
        <v xml:space="preserve">   340399</v>
      </c>
      <c r="B3008" t="s">
        <v>106</v>
      </c>
      <c r="C3008">
        <v>864036</v>
      </c>
      <c r="D3008">
        <v>25</v>
      </c>
    </row>
    <row r="3009" spans="1:4" x14ac:dyDescent="0.25">
      <c r="A3009" t="str">
        <f>T("   340590")</f>
        <v xml:space="preserve">   340590</v>
      </c>
      <c r="B3009" t="str">
        <f>T("   Brillants pour verre ou métaux, même sous forme de papier, ouates, feutres, nontissés, matière plastique ou caoutchouc alvéolaires, imprégnés, enduits ou recouverts de ces préparations")</f>
        <v xml:space="preserve">   Brillants pour verre ou métaux, même sous forme de papier, ouates, feutres, nontissés, matière plastique ou caoutchouc alvéolaires, imprégnés, enduits ou recouverts de ces préparations</v>
      </c>
      <c r="C3009">
        <v>31663</v>
      </c>
      <c r="D3009">
        <v>1</v>
      </c>
    </row>
    <row r="3010" spans="1:4" x14ac:dyDescent="0.25">
      <c r="A3010" t="str">
        <f>T("   350610")</f>
        <v xml:space="preserve">   350610</v>
      </c>
      <c r="B3010" t="str">
        <f>T("   Produits de toute espèce à usage de colles ou d'adhésifs, conditionnés pour la vente au détail comme colles ou adhésifs, d'un poids net &lt;= 1 kg")</f>
        <v xml:space="preserve">   Produits de toute espèce à usage de colles ou d'adhésifs, conditionnés pour la vente au détail comme colles ou adhésifs, d'un poids net &lt;= 1 kg</v>
      </c>
      <c r="C3010">
        <v>230992</v>
      </c>
      <c r="D3010">
        <v>3</v>
      </c>
    </row>
    <row r="3011" spans="1:4" x14ac:dyDescent="0.25">
      <c r="A3011" t="str">
        <f>T("   350691")</f>
        <v xml:space="preserve">   350691</v>
      </c>
      <c r="B3011" t="str">
        <f>T("   Adhésifs à base de polymères du n° 3901 à 3913 ou de caoutchouc (à l'excl. des produits conditionnés pour la vente au détail comme colles ou adhésifs, d'un poids net &lt;= 1 kg)")</f>
        <v xml:space="preserve">   Adhésifs à base de polymères du n° 3901 à 3913 ou de caoutchouc (à l'excl. des produits conditionnés pour la vente au détail comme colles ou adhésifs, d'un poids net &lt;= 1 kg)</v>
      </c>
      <c r="C3011">
        <v>77078666</v>
      </c>
      <c r="D3011">
        <v>25662</v>
      </c>
    </row>
    <row r="3012" spans="1:4" x14ac:dyDescent="0.25">
      <c r="A3012" t="str">
        <f>T("   350699")</f>
        <v xml:space="preserve">   350699</v>
      </c>
      <c r="B3012" t="str">
        <f>T("   Colles et autres adhésifs préparés, n.d.a.")</f>
        <v xml:space="preserve">   Colles et autres adhésifs préparés, n.d.a.</v>
      </c>
      <c r="C3012">
        <v>374684</v>
      </c>
      <c r="D3012">
        <v>15</v>
      </c>
    </row>
    <row r="3013" spans="1:4" x14ac:dyDescent="0.25">
      <c r="A3013" t="str">
        <f>T("   350790")</f>
        <v xml:space="preserve">   350790</v>
      </c>
      <c r="B3013" t="str">
        <f>T("   Enzymes et enzymes préparées, n.d.a. (à l'excl. de la présure et de ses concentrats)")</f>
        <v xml:space="preserve">   Enzymes et enzymes préparées, n.d.a. (à l'excl. de la présure et de ses concentrats)</v>
      </c>
      <c r="C3013">
        <v>49335163</v>
      </c>
      <c r="D3013">
        <v>886</v>
      </c>
    </row>
    <row r="3014" spans="1:4" x14ac:dyDescent="0.25">
      <c r="A3014" t="str">
        <f>T("   360500")</f>
        <v xml:space="preserve">   360500</v>
      </c>
      <c r="B3014" t="str">
        <f>T("   Allumettes (autres que les articles de pyrotechnie du n° 3604)")</f>
        <v xml:space="preserve">   Allumettes (autres que les articles de pyrotechnie du n° 3604)</v>
      </c>
      <c r="C3014">
        <v>5895000</v>
      </c>
      <c r="D3014">
        <v>17335</v>
      </c>
    </row>
    <row r="3015" spans="1:4" x14ac:dyDescent="0.25">
      <c r="A3015" t="str">
        <f>T("   370790")</f>
        <v xml:space="preserve">   370790</v>
      </c>
      <c r="B3015" t="s">
        <v>117</v>
      </c>
      <c r="C3015">
        <v>8625635</v>
      </c>
      <c r="D3015">
        <v>9100</v>
      </c>
    </row>
    <row r="3016" spans="1:4" x14ac:dyDescent="0.25">
      <c r="A3016" t="str">
        <f>T("   380290")</f>
        <v xml:space="preserve">   380290</v>
      </c>
      <c r="B3016" t="str">
        <f>T("   Kieselguhr activé, autres matières minérales naturelles activées et noirs d'origine animale, y.c. le noir animal épuisé (à l'excl. des charbons activés, des produits chimiques activés ainsi que de la diatomite calcinée sans agents frittants)")</f>
        <v xml:space="preserve">   Kieselguhr activé, autres matières minérales naturelles activées et noirs d'origine animale, y.c. le noir animal épuisé (à l'excl. des charbons activés, des produits chimiques activés ainsi que de la diatomite calcinée sans agents frittants)</v>
      </c>
      <c r="C3016">
        <v>18588884</v>
      </c>
      <c r="D3016">
        <v>37851</v>
      </c>
    </row>
    <row r="3017" spans="1:4" x14ac:dyDescent="0.25">
      <c r="A3017" t="str">
        <f>T("   380840")</f>
        <v xml:space="preserve">   380840</v>
      </c>
      <c r="B3017" t="str">
        <f>T("   Désinfectants et produits simil., présentés dans des formes ou emballages de vente au détail ou à l'état de préparations ou sous forme d'articles")</f>
        <v xml:space="preserve">   Désinfectants et produits simil., présentés dans des formes ou emballages de vente au détail ou à l'état de préparations ou sous forme d'articles</v>
      </c>
      <c r="C3017">
        <v>1284717</v>
      </c>
      <c r="D3017">
        <v>394</v>
      </c>
    </row>
    <row r="3018" spans="1:4" x14ac:dyDescent="0.25">
      <c r="A3018" t="str">
        <f>T("   382100")</f>
        <v xml:space="preserve">   382100</v>
      </c>
      <c r="B3018" t="str">
        <f>T("   Milieux de culture préparés pour le développement des micro-organismes")</f>
        <v xml:space="preserve">   Milieux de culture préparés pour le développement des micro-organismes</v>
      </c>
      <c r="C3018">
        <v>408745</v>
      </c>
      <c r="D3018">
        <v>2</v>
      </c>
    </row>
    <row r="3019" spans="1:4" x14ac:dyDescent="0.25">
      <c r="A3019" t="str">
        <f>T("   382200")</f>
        <v xml:space="preserve">   382200</v>
      </c>
      <c r="B3019" t="s">
        <v>125</v>
      </c>
      <c r="C3019">
        <v>28995578</v>
      </c>
      <c r="D3019">
        <v>21739</v>
      </c>
    </row>
    <row r="3020" spans="1:4" x14ac:dyDescent="0.25">
      <c r="A3020" t="str">
        <f>T("   390390")</f>
        <v xml:space="preserve">   390390</v>
      </c>
      <c r="B3020" t="str">
        <f>T("   Polymères du styrène, sous formes primaires (à l'excl. du polystyrène ainsi que des copolymères de styrène-acrylonitrile [SAN] ou d'acrylonitrile-butadiène-styrène [ABS])")</f>
        <v xml:space="preserve">   Polymères du styrène, sous formes primaires (à l'excl. du polystyrène ainsi que des copolymères de styrène-acrylonitrile [SAN] ou d'acrylonitrile-butadiène-styrène [ABS])</v>
      </c>
      <c r="C3020">
        <v>10321518</v>
      </c>
      <c r="D3020">
        <v>7168</v>
      </c>
    </row>
    <row r="3021" spans="1:4" x14ac:dyDescent="0.25">
      <c r="A3021" t="str">
        <f>T("   390730")</f>
        <v xml:space="preserve">   390730</v>
      </c>
      <c r="B3021" t="str">
        <f>T("   Résines époxydes, sous formes primaires")</f>
        <v xml:space="preserve">   Résines époxydes, sous formes primaires</v>
      </c>
      <c r="C3021">
        <v>165302</v>
      </c>
      <c r="D3021">
        <v>2</v>
      </c>
    </row>
    <row r="3022" spans="1:4" x14ac:dyDescent="0.25">
      <c r="A3022" t="str">
        <f>T("   390930")</f>
        <v xml:space="preserve">   390930</v>
      </c>
      <c r="B3022" t="str">
        <f>T("   Résines aminiques, sous formes primaires (à l'excl. des résines de thiourée ainsi que des résines uréiques ou mélaminiques)")</f>
        <v xml:space="preserve">   Résines aminiques, sous formes primaires (à l'excl. des résines de thiourée ainsi que des résines uréiques ou mélaminiques)</v>
      </c>
      <c r="C3022">
        <v>95487441</v>
      </c>
      <c r="D3022">
        <v>297000</v>
      </c>
    </row>
    <row r="3023" spans="1:4" x14ac:dyDescent="0.25">
      <c r="A3023" t="str">
        <f>T("   390950")</f>
        <v xml:space="preserve">   390950</v>
      </c>
      <c r="B3023" t="str">
        <f>T("   Polyuréthannes, sous formes primaires")</f>
        <v xml:space="preserve">   Polyuréthannes, sous formes primaires</v>
      </c>
      <c r="C3023">
        <v>59821584</v>
      </c>
      <c r="D3023">
        <v>27685</v>
      </c>
    </row>
    <row r="3024" spans="1:4" x14ac:dyDescent="0.25">
      <c r="A3024" t="str">
        <f>T("   391721")</f>
        <v xml:space="preserve">   391721</v>
      </c>
      <c r="B3024" t="str">
        <f>T("   TUBES ET TUYAUX RIGIDES, EN POLYMÈRES DE L'ÉTHYLÈNE")</f>
        <v xml:space="preserve">   TUBES ET TUYAUX RIGIDES, EN POLYMÈRES DE L'ÉTHYLÈNE</v>
      </c>
      <c r="C3024">
        <v>125288</v>
      </c>
      <c r="D3024">
        <v>546</v>
      </c>
    </row>
    <row r="3025" spans="1:4" x14ac:dyDescent="0.25">
      <c r="A3025" t="str">
        <f>T("   391739")</f>
        <v xml:space="preserve">   391739</v>
      </c>
      <c r="B3025" t="str">
        <f>T("   TUBES ET TUYAUX SOUPLES, EN MATIÈRES PLASTIQUES, RENFORCÉS D'AUTRES MATIÈRES OU ASSOCIÉS À D'AUTRES MATIÈRES (À L'EXCL. DES PRODUITS POUVANT SUPPORTER UNE PRESSION &gt;= 27,6 MPA)")</f>
        <v xml:space="preserve">   TUBES ET TUYAUX SOUPLES, EN MATIÈRES PLASTIQUES, RENFORCÉS D'AUTRES MATIÈRES OU ASSOCIÉS À D'AUTRES MATIÈRES (À L'EXCL. DES PRODUITS POUVANT SUPPORTER UNE PRESSION &gt;= 27,6 MPA)</v>
      </c>
      <c r="C3025">
        <v>1437137</v>
      </c>
      <c r="D3025">
        <v>105</v>
      </c>
    </row>
    <row r="3026" spans="1:4" x14ac:dyDescent="0.25">
      <c r="A3026" t="str">
        <f>T("   391740")</f>
        <v xml:space="preserve">   391740</v>
      </c>
      <c r="B3026" t="str">
        <f>T("   Accessoires pour tubes ou tuyaux [joints, coudes, raccords, par exemple], en matières plastiques")</f>
        <v xml:space="preserve">   Accessoires pour tubes ou tuyaux [joints, coudes, raccords, par exemple], en matières plastiques</v>
      </c>
      <c r="C3026">
        <v>604270</v>
      </c>
      <c r="D3026">
        <v>13</v>
      </c>
    </row>
    <row r="3027" spans="1:4" x14ac:dyDescent="0.25">
      <c r="A3027" t="str">
        <f>T("   391890")</f>
        <v xml:space="preserve">   391890</v>
      </c>
      <c r="B3027" t="s">
        <v>129</v>
      </c>
      <c r="C3027">
        <v>1318480</v>
      </c>
      <c r="D3027">
        <v>9020</v>
      </c>
    </row>
    <row r="3028" spans="1:4" x14ac:dyDescent="0.25">
      <c r="A3028" t="str">
        <f>T("   392010")</f>
        <v xml:space="preserve">   392010</v>
      </c>
      <c r="B3028" t="s">
        <v>131</v>
      </c>
      <c r="C3028">
        <v>15358484</v>
      </c>
      <c r="D3028">
        <v>9927</v>
      </c>
    </row>
    <row r="3029" spans="1:4" x14ac:dyDescent="0.25">
      <c r="A3029" t="str">
        <f>T("   392111")</f>
        <v xml:space="preserve">   392111</v>
      </c>
      <c r="B3029" t="s">
        <v>140</v>
      </c>
      <c r="C3029">
        <v>156118</v>
      </c>
      <c r="D3029">
        <v>682</v>
      </c>
    </row>
    <row r="3030" spans="1:4" x14ac:dyDescent="0.25">
      <c r="A3030" t="str">
        <f>T("   392490")</f>
        <v xml:space="preserve">   392490</v>
      </c>
      <c r="B3030" t="s">
        <v>145</v>
      </c>
      <c r="C3030">
        <v>169894</v>
      </c>
      <c r="D3030">
        <v>568</v>
      </c>
    </row>
    <row r="3031" spans="1:4" x14ac:dyDescent="0.25">
      <c r="A3031" t="str">
        <f>T("   392510")</f>
        <v xml:space="preserve">   392510</v>
      </c>
      <c r="B3031" t="str">
        <f>T("   Réservoirs, foudres, cuves et récipients analogues, en matières plastiques, d'une contenance &gt; 300 l")</f>
        <v xml:space="preserve">   Réservoirs, foudres, cuves et récipients analogues, en matières plastiques, d'une contenance &gt; 300 l</v>
      </c>
      <c r="C3031">
        <v>811423</v>
      </c>
      <c r="D3031">
        <v>3547</v>
      </c>
    </row>
    <row r="3032" spans="1:4" x14ac:dyDescent="0.25">
      <c r="A3032" t="str">
        <f>T("   392590")</f>
        <v xml:space="preserve">   392590</v>
      </c>
      <c r="B3032" t="s">
        <v>146</v>
      </c>
      <c r="C3032">
        <v>55101</v>
      </c>
      <c r="D3032">
        <v>4</v>
      </c>
    </row>
    <row r="3033" spans="1:4" x14ac:dyDescent="0.25">
      <c r="A3033" t="str">
        <f>T("   392620")</f>
        <v xml:space="preserve">   392620</v>
      </c>
      <c r="B3033" t="str">
        <f>T("   Vêtements et accessoires du vêtement, y.c. les gants, mitaines et moufles, fabriqués par couture ou collage à partir de feuilles en matières plastiques")</f>
        <v xml:space="preserve">   Vêtements et accessoires du vêtement, y.c. les gants, mitaines et moufles, fabriqués par couture ou collage à partir de feuilles en matières plastiques</v>
      </c>
      <c r="C3033">
        <v>620682</v>
      </c>
      <c r="D3033">
        <v>37</v>
      </c>
    </row>
    <row r="3034" spans="1:4" x14ac:dyDescent="0.25">
      <c r="A3034" t="str">
        <f>T("   392640")</f>
        <v xml:space="preserve">   392640</v>
      </c>
      <c r="B3034" t="str">
        <f>T("   Statuettes et autres objets d'ornementation, en matières plastiques")</f>
        <v xml:space="preserve">   Statuettes et autres objets d'ornementation, en matières plastiques</v>
      </c>
      <c r="C3034">
        <v>495250</v>
      </c>
      <c r="D3034">
        <v>670</v>
      </c>
    </row>
    <row r="3035" spans="1:4" x14ac:dyDescent="0.25">
      <c r="A3035" t="str">
        <f>T("   392690")</f>
        <v xml:space="preserve">   392690</v>
      </c>
      <c r="B3035" t="str">
        <f>T("   Ouvrages en matières plastiques et ouvrages en autres matières du n° 3901 à 3914, n.d.a.")</f>
        <v xml:space="preserve">   Ouvrages en matières plastiques et ouvrages en autres matières du n° 3901 à 3914, n.d.a.</v>
      </c>
      <c r="C3035">
        <v>2574204</v>
      </c>
      <c r="D3035">
        <v>46.4</v>
      </c>
    </row>
    <row r="3036" spans="1:4" x14ac:dyDescent="0.25">
      <c r="A3036" t="str">
        <f>T("   400249")</f>
        <v xml:space="preserve">   400249</v>
      </c>
      <c r="B3036" t="str">
        <f>T("   CAOUTCHOUC CHLOROPRÈNE 'CHLOROBUTADIÈNE' [CR], SOUS FORMES PRIMAIRES OU EN PLAQUES, FEUILLES OU BANDES (À L'EXCL. DU LATEX)")</f>
        <v xml:space="preserve">   CAOUTCHOUC CHLOROPRÈNE 'CHLOROBUTADIÈNE' [CR], SOUS FORMES PRIMAIRES OU EN PLAQUES, FEUILLES OU BANDES (À L'EXCL. DU LATEX)</v>
      </c>
      <c r="C3036">
        <v>3288327</v>
      </c>
      <c r="D3036">
        <v>1028</v>
      </c>
    </row>
    <row r="3037" spans="1:4" x14ac:dyDescent="0.25">
      <c r="A3037" t="str">
        <f>T("   400591")</f>
        <v xml:space="preserve">   400591</v>
      </c>
      <c r="B3037" t="s">
        <v>149</v>
      </c>
      <c r="C3037">
        <v>10000</v>
      </c>
      <c r="D3037">
        <v>278</v>
      </c>
    </row>
    <row r="3038" spans="1:4" x14ac:dyDescent="0.25">
      <c r="A3038" t="str">
        <f>T("   400690")</f>
        <v xml:space="preserve">   400690</v>
      </c>
      <c r="B3038" t="s">
        <v>151</v>
      </c>
      <c r="C3038">
        <v>211219</v>
      </c>
      <c r="D3038">
        <v>40</v>
      </c>
    </row>
    <row r="3039" spans="1:4" x14ac:dyDescent="0.25">
      <c r="A3039" t="str">
        <f>T("   400911")</f>
        <v xml:space="preserve">   400911</v>
      </c>
      <c r="B3039" t="str">
        <f>T("   Tubes et tuyaux en caoutchouc vulcanisé non durci, non renforcés à l'aide d'autres matières ni autrement associés à d'autres matières, sans accessoires")</f>
        <v xml:space="preserve">   Tubes et tuyaux en caoutchouc vulcanisé non durci, non renforcés à l'aide d'autres matières ni autrement associés à d'autres matières, sans accessoires</v>
      </c>
      <c r="C3039">
        <v>416685</v>
      </c>
      <c r="D3039">
        <v>5</v>
      </c>
    </row>
    <row r="3040" spans="1:4" x14ac:dyDescent="0.25">
      <c r="A3040" t="str">
        <f>T("   400942")</f>
        <v xml:space="preserve">   400942</v>
      </c>
      <c r="B3040" t="s">
        <v>153</v>
      </c>
      <c r="C3040">
        <v>665583</v>
      </c>
      <c r="D3040">
        <v>19</v>
      </c>
    </row>
    <row r="3041" spans="1:4" x14ac:dyDescent="0.25">
      <c r="A3041" t="str">
        <f>T("   401019")</f>
        <v xml:space="preserve">   401019</v>
      </c>
      <c r="B3041" t="str">
        <f>T("   Courroies transporteuses, en caoutchouc vulcanisé (à l'excl. des produits renforcés seulement de métal, de matières textiles ou de matières plastiques)")</f>
        <v xml:space="preserve">   Courroies transporteuses, en caoutchouc vulcanisé (à l'excl. des produits renforcés seulement de métal, de matières textiles ou de matières plastiques)</v>
      </c>
      <c r="C3041">
        <v>4214182</v>
      </c>
      <c r="D3041">
        <v>11</v>
      </c>
    </row>
    <row r="3042" spans="1:4" x14ac:dyDescent="0.25">
      <c r="A3042" t="str">
        <f>T("   401032")</f>
        <v xml:space="preserve">   401032</v>
      </c>
      <c r="B3042" t="str">
        <f>T("   Courroies de transmission sans fin de section trapézoïdale, en caoutchouc vulcanisé, d'une circonférence extérieure &gt; 60 cm mais &lt;= 180 cm (sauf striées)")</f>
        <v xml:space="preserve">   Courroies de transmission sans fin de section trapézoïdale, en caoutchouc vulcanisé, d'une circonférence extérieure &gt; 60 cm mais &lt;= 180 cm (sauf striées)</v>
      </c>
      <c r="C3042">
        <v>25808</v>
      </c>
      <c r="D3042">
        <v>6.42</v>
      </c>
    </row>
    <row r="3043" spans="1:4" x14ac:dyDescent="0.25">
      <c r="A3043" t="str">
        <f>T("   401033")</f>
        <v xml:space="preserve">   401033</v>
      </c>
      <c r="B3043" t="str">
        <f>T("   Courroies de transmission sans fin de section trapézoïdale, en caoutchouc vulcanisé, striées, d'une circonférence extérieure &gt; 180 cm mais &lt;= 240 cm")</f>
        <v xml:space="preserve">   Courroies de transmission sans fin de section trapézoïdale, en caoutchouc vulcanisé, striées, d'une circonférence extérieure &gt; 180 cm mais &lt;= 240 cm</v>
      </c>
      <c r="C3043">
        <v>1631373</v>
      </c>
      <c r="D3043">
        <v>222</v>
      </c>
    </row>
    <row r="3044" spans="1:4" x14ac:dyDescent="0.25">
      <c r="A3044" t="str">
        <f>T("   401039")</f>
        <v xml:space="preserve">   401039</v>
      </c>
      <c r="B3044" t="s">
        <v>154</v>
      </c>
      <c r="C3044">
        <v>8819966</v>
      </c>
      <c r="D3044">
        <v>327</v>
      </c>
    </row>
    <row r="3045" spans="1:4" x14ac:dyDescent="0.25">
      <c r="A3045" t="str">
        <f>T("   401110")</f>
        <v xml:space="preserve">   401110</v>
      </c>
      <c r="B3045" t="str">
        <f>T("   Pneumatiques neufs, en caoutchouc, des types utilisés pour les voitures de tourisme, y.c. les voitures du type 'break' et les voitures de course")</f>
        <v xml:space="preserve">   Pneumatiques neufs, en caoutchouc, des types utilisés pour les voitures de tourisme, y.c. les voitures du type 'break' et les voitures de course</v>
      </c>
      <c r="C3045">
        <v>7081745</v>
      </c>
      <c r="D3045">
        <v>2177</v>
      </c>
    </row>
    <row r="3046" spans="1:4" x14ac:dyDescent="0.25">
      <c r="A3046" t="str">
        <f>T("   401120")</f>
        <v xml:space="preserve">   401120</v>
      </c>
      <c r="B3046" t="str">
        <f>T("   Pneumatiques neufs, en caoutchouc, des types utilisés pour les autobus ou les camions (à l'excl. des pneumatiques à crampons, à chevrons ou simil.)")</f>
        <v xml:space="preserve">   Pneumatiques neufs, en caoutchouc, des types utilisés pour les autobus ou les camions (à l'excl. des pneumatiques à crampons, à chevrons ou simil.)</v>
      </c>
      <c r="C3046">
        <v>10651981</v>
      </c>
      <c r="D3046">
        <v>3667</v>
      </c>
    </row>
    <row r="3047" spans="1:4" x14ac:dyDescent="0.25">
      <c r="A3047" t="str">
        <f>T("   401194")</f>
        <v xml:space="preserve">   401194</v>
      </c>
      <c r="B3047" t="str">
        <f>T("   Pneumatiques neufs, en caoutchouc, des types utilisés pour les véhicules et engins de génie civil et de manutention industrielle, pour jantes d'un diamètre &gt; 61 cm (à l'excl. des pneumatiques à crampons, à chevrons ou simil.)")</f>
        <v xml:space="preserve">   Pneumatiques neufs, en caoutchouc, des types utilisés pour les véhicules et engins de génie civil et de manutention industrielle, pour jantes d'un diamètre &gt; 61 cm (à l'excl. des pneumatiques à crampons, à chevrons ou simil.)</v>
      </c>
      <c r="C3047">
        <v>488690</v>
      </c>
      <c r="D3047">
        <v>1578</v>
      </c>
    </row>
    <row r="3048" spans="1:4" x14ac:dyDescent="0.25">
      <c r="A3048" t="str">
        <f>T("   401199")</f>
        <v xml:space="preserve">   401199</v>
      </c>
      <c r="B3048" t="s">
        <v>155</v>
      </c>
      <c r="C3048">
        <v>242456</v>
      </c>
      <c r="D3048">
        <v>1457</v>
      </c>
    </row>
    <row r="3049" spans="1:4" x14ac:dyDescent="0.25">
      <c r="A3049" t="str">
        <f>T("   401211")</f>
        <v xml:space="preserve">   401211</v>
      </c>
      <c r="B3049" t="str">
        <f>T("   Pneumatiques rechapés, en caoutchouc, des types utilisés pour les voitures de tourisme, y.c. les voitures du type 'break' et les voitures de course")</f>
        <v xml:space="preserve">   Pneumatiques rechapés, en caoutchouc, des types utilisés pour les voitures de tourisme, y.c. les voitures du type 'break' et les voitures de course</v>
      </c>
      <c r="C3049">
        <v>155663000</v>
      </c>
      <c r="D3049">
        <v>269934</v>
      </c>
    </row>
    <row r="3050" spans="1:4" x14ac:dyDescent="0.25">
      <c r="A3050" t="str">
        <f>T("   401212")</f>
        <v xml:space="preserve">   401212</v>
      </c>
      <c r="B3050" t="str">
        <f>T("   Pneumatiques rechapés, en caoutchouc, des types utilisés pour les autobus ou camions")</f>
        <v xml:space="preserve">   Pneumatiques rechapés, en caoutchouc, des types utilisés pour les autobus ou camions</v>
      </c>
      <c r="C3050">
        <v>28316658</v>
      </c>
      <c r="D3050">
        <v>70290</v>
      </c>
    </row>
    <row r="3051" spans="1:4" x14ac:dyDescent="0.25">
      <c r="A3051" t="str">
        <f>T("   401219")</f>
        <v xml:space="preserve">   401219</v>
      </c>
      <c r="B3051" t="str">
        <f>T("   Pneumatiques rechapés, en caoutchouc (à l'excl. des pneumatiques des types utilisés pour les voitures de tourisme, les voitures du type 'break', les voitures de course, les autobus, les camions ou les véhicules aériens)")</f>
        <v xml:space="preserve">   Pneumatiques rechapés, en caoutchouc (à l'excl. des pneumatiques des types utilisés pour les voitures de tourisme, les voitures du type 'break', les voitures de course, les autobus, les camions ou les véhicules aériens)</v>
      </c>
      <c r="C3051">
        <v>8781000</v>
      </c>
      <c r="D3051">
        <v>34000</v>
      </c>
    </row>
    <row r="3052" spans="1:4" x14ac:dyDescent="0.25">
      <c r="A3052" t="str">
        <f>T("   401220")</f>
        <v xml:space="preserve">   401220</v>
      </c>
      <c r="B3052" t="str">
        <f>T("   Pneumatiques usagés, en caoutchouc")</f>
        <v xml:space="preserve">   Pneumatiques usagés, en caoutchouc</v>
      </c>
      <c r="C3052">
        <v>1351170334</v>
      </c>
      <c r="D3052">
        <v>4235654</v>
      </c>
    </row>
    <row r="3053" spans="1:4" x14ac:dyDescent="0.25">
      <c r="A3053" t="str">
        <f>T("   401290")</f>
        <v xml:space="preserve">   401290</v>
      </c>
      <c r="B3053" t="str">
        <f>T("   Bandages pleins ou creux [mi-pleins], bandes de roulement amovibles pour pneumatiques et flaps, en caoutchouc")</f>
        <v xml:space="preserve">   Bandages pleins ou creux [mi-pleins], bandes de roulement amovibles pour pneumatiques et flaps, en caoutchouc</v>
      </c>
      <c r="C3053">
        <v>124560</v>
      </c>
      <c r="D3053">
        <v>378</v>
      </c>
    </row>
    <row r="3054" spans="1:4" x14ac:dyDescent="0.25">
      <c r="A3054" t="str">
        <f>T("   401310")</f>
        <v xml:space="preserve">   401310</v>
      </c>
      <c r="B3054" t="str">
        <f>T("   Chambres à air, en caoutchouc, des types utilisés pour les voitures de tourisme [y.c. les voitures du type 'break' et les voitures de course], les autobus ou les camions")</f>
        <v xml:space="preserve">   Chambres à air, en caoutchouc, des types utilisés pour les voitures de tourisme [y.c. les voitures du type 'break' et les voitures de course], les autobus ou les camions</v>
      </c>
      <c r="C3054">
        <v>54164505</v>
      </c>
      <c r="D3054">
        <v>236454</v>
      </c>
    </row>
    <row r="3055" spans="1:4" x14ac:dyDescent="0.25">
      <c r="A3055" t="str">
        <f>T("   401390")</f>
        <v xml:space="preserve">   401390</v>
      </c>
      <c r="B3055" t="str">
        <f>T("   Chambres à air, en caoutchouc (à l'excl. des chambres à air des types utilisés pour les voitures de tourisme, les voitures du type 'break', les voitures de course, les autobus, les camions et les bicyclettes)")</f>
        <v xml:space="preserve">   Chambres à air, en caoutchouc (à l'excl. des chambres à air des types utilisés pour les voitures de tourisme, les voitures du type 'break', les voitures de course, les autobus, les camions et les bicyclettes)</v>
      </c>
      <c r="C3055">
        <v>14916261</v>
      </c>
      <c r="D3055">
        <v>159932</v>
      </c>
    </row>
    <row r="3056" spans="1:4" x14ac:dyDescent="0.25">
      <c r="A3056" t="str">
        <f>T("   401410")</f>
        <v xml:space="preserve">   401410</v>
      </c>
      <c r="B3056" t="str">
        <f>T("   Préservatifs en caoutchouc vulcanisé non durci")</f>
        <v xml:space="preserve">   Préservatifs en caoutchouc vulcanisé non durci</v>
      </c>
      <c r="C3056">
        <v>83307</v>
      </c>
      <c r="D3056">
        <v>8</v>
      </c>
    </row>
    <row r="3057" spans="1:4" x14ac:dyDescent="0.25">
      <c r="A3057" t="str">
        <f>T("   401693")</f>
        <v xml:space="preserve">   401693</v>
      </c>
      <c r="B3057" t="str">
        <f>T("   Joints en caoutchouc vulcanisé non durci (à l'excl. des articles en caoutchouc alvéolaire)")</f>
        <v xml:space="preserve">   Joints en caoutchouc vulcanisé non durci (à l'excl. des articles en caoutchouc alvéolaire)</v>
      </c>
      <c r="C3057">
        <v>5655064</v>
      </c>
      <c r="D3057">
        <v>207.2</v>
      </c>
    </row>
    <row r="3058" spans="1:4" x14ac:dyDescent="0.25">
      <c r="A3058" t="str">
        <f>T("   401699")</f>
        <v xml:space="preserve">   401699</v>
      </c>
      <c r="B3058" t="str">
        <f>T("   OUVRAGES EN CAOUTCHOUC VULCANISÉ NON-DURCI, N.D.A.")</f>
        <v xml:space="preserve">   OUVRAGES EN CAOUTCHOUC VULCANISÉ NON-DURCI, N.D.A.</v>
      </c>
      <c r="C3058">
        <v>2971571</v>
      </c>
      <c r="D3058">
        <v>65</v>
      </c>
    </row>
    <row r="3059" spans="1:4" x14ac:dyDescent="0.25">
      <c r="A3059" t="str">
        <f>T("   420229")</f>
        <v xml:space="preserve">   420229</v>
      </c>
      <c r="B3059" t="str">
        <f>T("   Sacs à main, même à bandoulière, y.c. ceux sans poignée, à surface extérieure en fibre vulcanisée ou en carton, ou recouverts, en totalité ou en majeure partie, de ces mêmes matières ou de papier")</f>
        <v xml:space="preserve">   Sacs à main, même à bandoulière, y.c. ceux sans poignée, à surface extérieure en fibre vulcanisée ou en carton, ou recouverts, en totalité ou en majeure partie, de ces mêmes matières ou de papier</v>
      </c>
      <c r="C3059">
        <v>77403</v>
      </c>
      <c r="D3059">
        <v>265</v>
      </c>
    </row>
    <row r="3060" spans="1:4" x14ac:dyDescent="0.25">
      <c r="A3060" t="str">
        <f>T("   420299")</f>
        <v xml:space="preserve">   420299</v>
      </c>
      <c r="B3060" t="s">
        <v>164</v>
      </c>
      <c r="C3060">
        <v>512305</v>
      </c>
      <c r="D3060">
        <v>1541</v>
      </c>
    </row>
    <row r="3061" spans="1:4" x14ac:dyDescent="0.25">
      <c r="A3061" t="str">
        <f>T("   420329")</f>
        <v xml:space="preserve">   420329</v>
      </c>
      <c r="B3061" t="str">
        <f>T("   Gants, mitaines et moufles, en cuir naturel ou reconstitué (à l'excl. des articles spécialement conçus pour la pratique des sports)")</f>
        <v xml:space="preserve">   Gants, mitaines et moufles, en cuir naturel ou reconstitué (à l'excl. des articles spécialement conçus pour la pratique des sports)</v>
      </c>
      <c r="C3061">
        <v>18215</v>
      </c>
      <c r="D3061">
        <v>10</v>
      </c>
    </row>
    <row r="3062" spans="1:4" x14ac:dyDescent="0.25">
      <c r="A3062" t="str">
        <f>T("   441199")</f>
        <v xml:space="preserve">   441199</v>
      </c>
      <c r="B3062" t="s">
        <v>174</v>
      </c>
      <c r="C3062">
        <v>22100431</v>
      </c>
      <c r="D3062">
        <v>98500</v>
      </c>
    </row>
    <row r="3063" spans="1:4" x14ac:dyDescent="0.25">
      <c r="A3063" t="str">
        <f>T("   441810")</f>
        <v xml:space="preserve">   441810</v>
      </c>
      <c r="B3063" t="str">
        <f>T("   Fenêtres, portes-fenêtres et leurs cadres et chambranles, en bois")</f>
        <v xml:space="preserve">   Fenêtres, portes-fenêtres et leurs cadres et chambranles, en bois</v>
      </c>
      <c r="C3063">
        <v>505089</v>
      </c>
      <c r="D3063">
        <v>1260</v>
      </c>
    </row>
    <row r="3064" spans="1:4" x14ac:dyDescent="0.25">
      <c r="A3064" t="str">
        <f>T("   441820")</f>
        <v xml:space="preserve">   441820</v>
      </c>
      <c r="B3064" t="str">
        <f>T("   Portes et leurs cadres, chambranles et seuils, en bois")</f>
        <v xml:space="preserve">   Portes et leurs cadres, chambranles et seuils, en bois</v>
      </c>
      <c r="C3064">
        <v>1233940</v>
      </c>
      <c r="D3064">
        <v>3380</v>
      </c>
    </row>
    <row r="3065" spans="1:4" x14ac:dyDescent="0.25">
      <c r="A3065" t="str">
        <f>T("   480210")</f>
        <v xml:space="preserve">   480210</v>
      </c>
      <c r="B3065" t="str">
        <f>T("   Papiers et cartons formés feuille à feuille [papiers à la main], de tout format et de toute forme")</f>
        <v xml:space="preserve">   Papiers et cartons formés feuille à feuille [papiers à la main], de tout format et de toute forme</v>
      </c>
      <c r="C3065">
        <v>11157224</v>
      </c>
      <c r="D3065">
        <v>21728</v>
      </c>
    </row>
    <row r="3066" spans="1:4" x14ac:dyDescent="0.25">
      <c r="A3066" t="str">
        <f>T("   480220")</f>
        <v xml:space="preserve">   480220</v>
      </c>
      <c r="B3066" t="str">
        <f>T("   Papiers et cartons supports pour papiers ou cartons photosensibles, sensibles à la chaleur ou électrosensibles, non couchés ni enduits, en rouleaux ou en feuilles de forme carrée ou rectangulaire, de tout format")</f>
        <v xml:space="preserve">   Papiers et cartons supports pour papiers ou cartons photosensibles, sensibles à la chaleur ou électrosensibles, non couchés ni enduits, en rouleaux ou en feuilles de forme carrée ou rectangulaire, de tout format</v>
      </c>
      <c r="C3066">
        <v>3467187</v>
      </c>
      <c r="D3066">
        <v>9000</v>
      </c>
    </row>
    <row r="3067" spans="1:4" x14ac:dyDescent="0.25">
      <c r="A3067" t="str">
        <f>T("   481200")</f>
        <v xml:space="preserve">   481200</v>
      </c>
      <c r="B3067" t="str">
        <f>T("   Blocs filtrants et plaques filtrantes, en pâte à papier")</f>
        <v xml:space="preserve">   Blocs filtrants et plaques filtrantes, en pâte à papier</v>
      </c>
      <c r="C3067">
        <v>3957387</v>
      </c>
      <c r="D3067">
        <v>823</v>
      </c>
    </row>
    <row r="3068" spans="1:4" x14ac:dyDescent="0.25">
      <c r="A3068" t="str">
        <f>T("   481820")</f>
        <v xml:space="preserve">   481820</v>
      </c>
      <c r="B3068" t="str">
        <f>T("   Mouchoirs, serviettes à démaquiller et essuie-mains, en pâte à papier, papier, ouate de cellulose ou nappes de fibres de cellulose")</f>
        <v xml:space="preserve">   Mouchoirs, serviettes à démaquiller et essuie-mains, en pâte à papier, papier, ouate de cellulose ou nappes de fibres de cellulose</v>
      </c>
      <c r="C3068">
        <v>13119</v>
      </c>
      <c r="D3068">
        <v>7</v>
      </c>
    </row>
    <row r="3069" spans="1:4" x14ac:dyDescent="0.25">
      <c r="A3069" t="str">
        <f>T("   481940")</f>
        <v xml:space="preserve">   481940</v>
      </c>
      <c r="B3069" t="str">
        <f>T("   Sacs, sachets, pochettes et cornets, en papier, carton, ouate de cellulose ou nappes de fibres de cellulose (à l'excl. des pochettes pour disques et des sacs d'une largeur à la base &gt;= 40 cm)")</f>
        <v xml:space="preserve">   Sacs, sachets, pochettes et cornets, en papier, carton, ouate de cellulose ou nappes de fibres de cellulose (à l'excl. des pochettes pour disques et des sacs d'une largeur à la base &gt;= 40 cm)</v>
      </c>
      <c r="C3069">
        <v>13021</v>
      </c>
      <c r="D3069">
        <v>3</v>
      </c>
    </row>
    <row r="3070" spans="1:4" x14ac:dyDescent="0.25">
      <c r="A3070" t="str">
        <f>T("   482110")</f>
        <v xml:space="preserve">   482110</v>
      </c>
      <c r="B3070" t="str">
        <f>T("   ÉTIQUETTES DE TOUS GENRES, EN PAPIER OU EN CARTON, IMPRIMÉES")</f>
        <v xml:space="preserve">   ÉTIQUETTES DE TOUS GENRES, EN PAPIER OU EN CARTON, IMPRIMÉES</v>
      </c>
      <c r="C3070">
        <v>78670329</v>
      </c>
      <c r="D3070">
        <v>8351</v>
      </c>
    </row>
    <row r="3071" spans="1:4" x14ac:dyDescent="0.25">
      <c r="A3071" t="str">
        <f>T("   482190")</f>
        <v xml:space="preserve">   482190</v>
      </c>
      <c r="B3071" t="str">
        <f>T("   ÉTIQUETTES DE TOUS GENRES, EN PAPIER OU EN CARTON, NON-IMPRIMÉES")</f>
        <v xml:space="preserve">   ÉTIQUETTES DE TOUS GENRES, EN PAPIER OU EN CARTON, NON-IMPRIMÉES</v>
      </c>
      <c r="C3071">
        <v>246626</v>
      </c>
      <c r="D3071">
        <v>93</v>
      </c>
    </row>
    <row r="3072" spans="1:4" x14ac:dyDescent="0.25">
      <c r="A3072" t="str">
        <f>T("   482390")</f>
        <v xml:space="preserve">   482390</v>
      </c>
      <c r="B3072" t="s">
        <v>218</v>
      </c>
      <c r="C3072">
        <v>44605</v>
      </c>
      <c r="D3072">
        <v>114</v>
      </c>
    </row>
    <row r="3073" spans="1:4" x14ac:dyDescent="0.25">
      <c r="A3073" t="str">
        <f>T("   490110")</f>
        <v xml:space="preserve">   490110</v>
      </c>
      <c r="B3073" t="str">
        <f>T("   Livres, brochures et imprimés simil., en feuillets isolés, même pliés (à l'excl. des publications périodiques et des publications à usages principalement publicitaires)")</f>
        <v xml:space="preserve">   Livres, brochures et imprimés simil., en feuillets isolés, même pliés (à l'excl. des publications périodiques et des publications à usages principalement publicitaires)</v>
      </c>
      <c r="C3073">
        <v>1641868</v>
      </c>
      <c r="D3073">
        <v>2960</v>
      </c>
    </row>
    <row r="3074" spans="1:4" x14ac:dyDescent="0.25">
      <c r="A3074" t="str">
        <f>T("   490199")</f>
        <v xml:space="preserve">   490199</v>
      </c>
      <c r="B3074"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3074">
        <v>59359845</v>
      </c>
      <c r="D3074">
        <v>29421</v>
      </c>
    </row>
    <row r="3075" spans="1:4" x14ac:dyDescent="0.25">
      <c r="A3075" t="str">
        <f>T("   490290")</f>
        <v xml:space="preserve">   490290</v>
      </c>
      <c r="B3075" t="str">
        <f>T("   Journaux et publications périodiques imprimés, même illustrés ou contenant de la publicité (à l'excl. des journaux et publications paraissant au moins quatre fois par semaine)")</f>
        <v xml:space="preserve">   Journaux et publications périodiques imprimés, même illustrés ou contenant de la publicité (à l'excl. des journaux et publications paraissant au moins quatre fois par semaine)</v>
      </c>
      <c r="C3075">
        <v>983268</v>
      </c>
      <c r="D3075">
        <v>1575</v>
      </c>
    </row>
    <row r="3076" spans="1:4" x14ac:dyDescent="0.25">
      <c r="A3076" t="str">
        <f>T("   491110")</f>
        <v xml:space="preserve">   491110</v>
      </c>
      <c r="B3076" t="str">
        <f>T("   Imprimés publicitaires, catalogues commerciaux et simil.")</f>
        <v xml:space="preserve">   Imprimés publicitaires, catalogues commerciaux et simil.</v>
      </c>
      <c r="C3076">
        <v>13808130</v>
      </c>
      <c r="D3076">
        <v>5033</v>
      </c>
    </row>
    <row r="3077" spans="1:4" x14ac:dyDescent="0.25">
      <c r="A3077" t="str">
        <f>T("   491191")</f>
        <v xml:space="preserve">   491191</v>
      </c>
      <c r="B3077" t="str">
        <f>T("   Images, gravures et photographies, n.d.a.")</f>
        <v xml:space="preserve">   Images, gravures et photographies, n.d.a.</v>
      </c>
      <c r="C3077">
        <v>692713</v>
      </c>
      <c r="D3077">
        <v>129</v>
      </c>
    </row>
    <row r="3078" spans="1:4" x14ac:dyDescent="0.25">
      <c r="A3078" t="str">
        <f>T("   491199")</f>
        <v xml:space="preserve">   491199</v>
      </c>
      <c r="B3078" t="str">
        <f>T("   Imprimés, n.d.a.")</f>
        <v xml:space="preserve">   Imprimés, n.d.a.</v>
      </c>
      <c r="C3078">
        <v>298331</v>
      </c>
      <c r="D3078">
        <v>193</v>
      </c>
    </row>
    <row r="3079" spans="1:4" x14ac:dyDescent="0.25">
      <c r="A3079" t="str">
        <f>T("   520951")</f>
        <v xml:space="preserve">   520951</v>
      </c>
      <c r="B3079" t="str">
        <f>T("   Tissus de coton, imprimés, à armure toile, contenant &gt;= 85% en poids de coton, d'un poids &gt; 200 g/m²")</f>
        <v xml:space="preserve">   Tissus de coton, imprimés, à armure toile, contenant &gt;= 85% en poids de coton, d'un poids &gt; 200 g/m²</v>
      </c>
      <c r="C3079">
        <v>5685238</v>
      </c>
      <c r="D3079">
        <v>3349</v>
      </c>
    </row>
    <row r="3080" spans="1:4" x14ac:dyDescent="0.25">
      <c r="A3080" t="str">
        <f>T("   551519")</f>
        <v xml:space="preserve">   551519</v>
      </c>
      <c r="B3080" t="s">
        <v>236</v>
      </c>
      <c r="C3080">
        <v>196465428</v>
      </c>
      <c r="D3080">
        <v>313512</v>
      </c>
    </row>
    <row r="3081" spans="1:4" x14ac:dyDescent="0.25">
      <c r="A3081" t="str">
        <f>T("   560890")</f>
        <v xml:space="preserve">   560890</v>
      </c>
      <c r="B3081" t="s">
        <v>245</v>
      </c>
      <c r="C3081">
        <v>2291138</v>
      </c>
      <c r="D3081">
        <v>200</v>
      </c>
    </row>
    <row r="3082" spans="1:4" x14ac:dyDescent="0.25">
      <c r="A3082" t="str">
        <f>T("   570249")</f>
        <v xml:space="preserve">   570249</v>
      </c>
      <c r="B3082" t="s">
        <v>247</v>
      </c>
      <c r="C3082">
        <v>20335</v>
      </c>
      <c r="D3082">
        <v>20</v>
      </c>
    </row>
    <row r="3083" spans="1:4" x14ac:dyDescent="0.25">
      <c r="A3083" t="str">
        <f>T("   570390")</f>
        <v xml:space="preserve">   570390</v>
      </c>
      <c r="B3083" t="str">
        <f>T("   Tapis et autres revêtements de sol, de matières textiles végétales ou de poils grossiers, touffetés, même confectionnés")</f>
        <v xml:space="preserve">   Tapis et autres revêtements de sol, de matières textiles végétales ou de poils grossiers, touffetés, même confectionnés</v>
      </c>
      <c r="C3083">
        <v>1325695</v>
      </c>
      <c r="D3083">
        <v>2000</v>
      </c>
    </row>
    <row r="3084" spans="1:4" x14ac:dyDescent="0.25">
      <c r="A3084" t="str">
        <f>T("   570490")</f>
        <v xml:space="preserve">   570490</v>
      </c>
      <c r="B3084" t="str">
        <f>T("   TAPIS ET AUTRES REVÊTEMENTS DE SOL, EN FEUTRE, NON TOUFFETÉS NI FLOQUÉS, MÊME CONFECTIONNÉS (À L'EXCL. DES CARREAUX D'UNE SUPERFICIE &lt;= 0,3 M¦)")</f>
        <v xml:space="preserve">   TAPIS ET AUTRES REVÊTEMENTS DE SOL, EN FEUTRE, NON TOUFFETÉS NI FLOQUÉS, MÊME CONFECTIONNÉS (À L'EXCL. DES CARREAUX D'UNE SUPERFICIE &lt;= 0,3 M¦)</v>
      </c>
      <c r="C3084">
        <v>36078</v>
      </c>
      <c r="D3084">
        <v>100</v>
      </c>
    </row>
    <row r="3085" spans="1:4" x14ac:dyDescent="0.25">
      <c r="A3085" t="str">
        <f>T("   590900")</f>
        <v xml:space="preserve">   590900</v>
      </c>
      <c r="B3085" t="str">
        <f>T("   Tuyaux pour pompes et tuyaux simil., en matières textiles, même imprégnés ou enduits, même avec armatures ou accessoires en autres matières")</f>
        <v xml:space="preserve">   Tuyaux pour pompes et tuyaux simil., en matières textiles, même imprégnés ou enduits, même avec armatures ou accessoires en autres matières</v>
      </c>
      <c r="C3085">
        <v>45261</v>
      </c>
      <c r="D3085">
        <v>3</v>
      </c>
    </row>
    <row r="3086" spans="1:4" x14ac:dyDescent="0.25">
      <c r="A3086" t="str">
        <f>T("   591190")</f>
        <v xml:space="preserve">   591190</v>
      </c>
      <c r="B3086" t="str">
        <f>T("   Produits et articles textiles pour usages techniques, en matières textiles, visés à la note 7 du présent chapitre, n.d.a.")</f>
        <v xml:space="preserve">   Produits et articles textiles pour usages techniques, en matières textiles, visés à la note 7 du présent chapitre, n.d.a.</v>
      </c>
      <c r="C3086">
        <v>1181384</v>
      </c>
      <c r="D3086">
        <v>319</v>
      </c>
    </row>
    <row r="3087" spans="1:4" x14ac:dyDescent="0.25">
      <c r="A3087" t="str">
        <f>T("   610590")</f>
        <v xml:space="preserve">   610590</v>
      </c>
      <c r="B3087" t="str">
        <f>T("   Chemises et chemisettes, en bonneterie, de matières textiles, pour hommes ou garçonnets (sauf de coton, fibres synthétiques ou artificielles et sauf chemises de nuit, T-shirts et maillots de corps)")</f>
        <v xml:space="preserve">   Chemises et chemisettes, en bonneterie, de matières textiles, pour hommes ou garçonnets (sauf de coton, fibres synthétiques ou artificielles et sauf chemises de nuit, T-shirts et maillots de corps)</v>
      </c>
      <c r="C3087">
        <v>100000</v>
      </c>
      <c r="D3087">
        <v>100</v>
      </c>
    </row>
    <row r="3088" spans="1:4" x14ac:dyDescent="0.25">
      <c r="A3088" t="str">
        <f>T("   610990")</f>
        <v xml:space="preserve">   610990</v>
      </c>
      <c r="B3088" t="str">
        <f>T("   T-shirts et maillots de corps, en bonneterie, de matières textiles (sauf de coton)")</f>
        <v xml:space="preserve">   T-shirts et maillots de corps, en bonneterie, de matières textiles (sauf de coton)</v>
      </c>
      <c r="C3088">
        <v>238107</v>
      </c>
      <c r="D3088">
        <v>137</v>
      </c>
    </row>
    <row r="3089" spans="1:4" x14ac:dyDescent="0.25">
      <c r="A3089" t="str">
        <f>T("   620349")</f>
        <v xml:space="preserve">   620349</v>
      </c>
      <c r="B3089" t="s">
        <v>268</v>
      </c>
      <c r="C3089">
        <v>900000</v>
      </c>
      <c r="D3089">
        <v>394</v>
      </c>
    </row>
    <row r="3090" spans="1:4" x14ac:dyDescent="0.25">
      <c r="A3090" t="str">
        <f>T("   620590")</f>
        <v xml:space="preserve">   620590</v>
      </c>
      <c r="B3090"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3090">
        <v>3763787</v>
      </c>
      <c r="D3090">
        <v>4950</v>
      </c>
    </row>
    <row r="3091" spans="1:4" x14ac:dyDescent="0.25">
      <c r="A3091" t="str">
        <f>T("   621040")</f>
        <v xml:space="preserve">   621040</v>
      </c>
      <c r="B3091" t="s">
        <v>272</v>
      </c>
      <c r="C3091">
        <v>2218948</v>
      </c>
      <c r="D3091">
        <v>819</v>
      </c>
    </row>
    <row r="3092" spans="1:4" x14ac:dyDescent="0.25">
      <c r="A3092" t="str">
        <f>T("   630699")</f>
        <v xml:space="preserve">   630699</v>
      </c>
      <c r="B3092" t="str">
        <f>T("   Articles de camping, de matières textiles (autres que de coton et sauf tentes et matelas pneumatiques, stores d'extérieur, voiles, sacs à dos, sacs à bandoulière et conditionnements simil. et sauf sacs de couchage, matelas et coussins rembourrés)")</f>
        <v xml:space="preserve">   Articles de camping, de matières textiles (autres que de coton et sauf tentes et matelas pneumatiques, stores d'extérieur, voiles, sacs à dos, sacs à bandoulière et conditionnements simil. et sauf sacs de couchage, matelas et coussins rembourrés)</v>
      </c>
      <c r="C3092">
        <v>27551</v>
      </c>
      <c r="D3092">
        <v>88</v>
      </c>
    </row>
    <row r="3093" spans="1:4" x14ac:dyDescent="0.25">
      <c r="A3093" t="str">
        <f>T("   630720")</f>
        <v xml:space="preserve">   630720</v>
      </c>
      <c r="B3093" t="str">
        <f>T("   Ceintures et gilets de sauvetage en tous types de matières textiles")</f>
        <v xml:space="preserve">   Ceintures et gilets de sauvetage en tous types de matières textiles</v>
      </c>
      <c r="C3093">
        <v>1304246</v>
      </c>
      <c r="D3093">
        <v>1300</v>
      </c>
    </row>
    <row r="3094" spans="1:4" x14ac:dyDescent="0.25">
      <c r="A3094" t="str">
        <f>T("   630790")</f>
        <v xml:space="preserve">   630790</v>
      </c>
      <c r="B3094" t="str">
        <f>T("   Articles de matières textiles, confectionnés, y.c. les patrons de vêtements n.d.a.")</f>
        <v xml:space="preserve">   Articles de matières textiles, confectionnés, y.c. les patrons de vêtements n.d.a.</v>
      </c>
      <c r="C3094">
        <v>112825</v>
      </c>
      <c r="D3094">
        <v>229</v>
      </c>
    </row>
    <row r="3095" spans="1:4" x14ac:dyDescent="0.25">
      <c r="A3095" t="str">
        <f>T("   630900")</f>
        <v xml:space="preserve">   630900</v>
      </c>
      <c r="B3095" t="s">
        <v>280</v>
      </c>
      <c r="C3095">
        <v>489753537</v>
      </c>
      <c r="D3095">
        <v>833610</v>
      </c>
    </row>
    <row r="3096" spans="1:4" x14ac:dyDescent="0.25">
      <c r="A3096" t="str">
        <f>T("   640199")</f>
        <v xml:space="preserve">   640199</v>
      </c>
      <c r="B3096" t="s">
        <v>281</v>
      </c>
      <c r="C3096">
        <v>383480</v>
      </c>
      <c r="D3096">
        <v>4300</v>
      </c>
    </row>
    <row r="3097" spans="1:4" x14ac:dyDescent="0.25">
      <c r="A3097" t="str">
        <f>T("   640230")</f>
        <v xml:space="preserve">   640230</v>
      </c>
      <c r="B3097" t="s">
        <v>284</v>
      </c>
      <c r="C3097">
        <v>2435448</v>
      </c>
      <c r="D3097">
        <v>450</v>
      </c>
    </row>
    <row r="3098" spans="1:4" x14ac:dyDescent="0.25">
      <c r="A3098" t="str">
        <f>T("   640319")</f>
        <v xml:space="preserve">   640319</v>
      </c>
      <c r="B3098" t="s">
        <v>286</v>
      </c>
      <c r="C3098">
        <v>479570</v>
      </c>
      <c r="D3098">
        <v>90</v>
      </c>
    </row>
    <row r="3099" spans="1:4" x14ac:dyDescent="0.25">
      <c r="A3099" t="str">
        <f>T("   640590")</f>
        <v xml:space="preserve">   640590</v>
      </c>
      <c r="B3099" t="s">
        <v>290</v>
      </c>
      <c r="C3099">
        <v>30174</v>
      </c>
      <c r="D3099">
        <v>3</v>
      </c>
    </row>
    <row r="3100" spans="1:4" x14ac:dyDescent="0.25">
      <c r="A3100" t="str">
        <f>T("   650590")</f>
        <v xml:space="preserve">   650590</v>
      </c>
      <c r="B3100" t="s">
        <v>291</v>
      </c>
      <c r="C3100">
        <v>11978486</v>
      </c>
      <c r="D3100">
        <v>1151</v>
      </c>
    </row>
    <row r="3101" spans="1:4" x14ac:dyDescent="0.25">
      <c r="A3101" t="str">
        <f>T("   660110")</f>
        <v xml:space="preserve">   660110</v>
      </c>
      <c r="B3101" t="str">
        <f>T("   Parasols de jardin et articles simil. (sauf tentes de plage)")</f>
        <v xml:space="preserve">   Parasols de jardin et articles simil. (sauf tentes de plage)</v>
      </c>
      <c r="C3101">
        <v>241393</v>
      </c>
      <c r="D3101">
        <v>330</v>
      </c>
    </row>
    <row r="3102" spans="1:4" x14ac:dyDescent="0.25">
      <c r="A3102" t="str">
        <f>T("   660199")</f>
        <v xml:space="preserve">   660199</v>
      </c>
      <c r="B3102" t="str">
        <f>T("   Parapluies, y.c. les parapluies-cannes et ombrelles (sauf parapluies et ombrelles à mât ou à manche télescopique, parasols de jardin et articles simil. et sauf jouets d'enfants)")</f>
        <v xml:space="preserve">   Parapluies, y.c. les parapluies-cannes et ombrelles (sauf parapluies et ombrelles à mât ou à manche télescopique, parasols de jardin et articles simil. et sauf jouets d'enfants)</v>
      </c>
      <c r="C3102">
        <v>99050</v>
      </c>
      <c r="D3102">
        <v>373</v>
      </c>
    </row>
    <row r="3103" spans="1:4" x14ac:dyDescent="0.25">
      <c r="A3103" t="str">
        <f>T("   680690")</f>
        <v xml:space="preserve">   680690</v>
      </c>
      <c r="B3103" t="s">
        <v>299</v>
      </c>
      <c r="C3103">
        <v>3641890</v>
      </c>
      <c r="D3103">
        <v>3752</v>
      </c>
    </row>
    <row r="3104" spans="1:4" x14ac:dyDescent="0.25">
      <c r="A3104" t="str">
        <f>T("   680990")</f>
        <v xml:space="preserve">   680990</v>
      </c>
      <c r="B3104" t="s">
        <v>302</v>
      </c>
      <c r="C3104">
        <v>4371974</v>
      </c>
      <c r="D3104">
        <v>5510</v>
      </c>
    </row>
    <row r="3105" spans="1:4" x14ac:dyDescent="0.25">
      <c r="A3105" t="str">
        <f>T("   690210")</f>
        <v xml:space="preserve">   690210</v>
      </c>
      <c r="B3105" t="str">
        <f>T("   Briques, dalles, carreaux et pièces céramiques de construction analogues, réfractaires, teneur en poids en éléments Mg, Ca ou Cr, pris isolément ou ensemble et exprimés en MgO, CaO ou Cr2O3 &gt; 50%")</f>
        <v xml:space="preserve">   Briques, dalles, carreaux et pièces céramiques de construction analogues, réfractaires, teneur en poids en éléments Mg, Ca ou Cr, pris isolément ou ensemble et exprimés en MgO, CaO ou Cr2O3 &gt; 50%</v>
      </c>
      <c r="C3105">
        <v>9141459</v>
      </c>
      <c r="D3105">
        <v>32987</v>
      </c>
    </row>
    <row r="3106" spans="1:4" x14ac:dyDescent="0.25">
      <c r="A3106" t="str">
        <f>T("   691110")</f>
        <v xml:space="preserve">   691110</v>
      </c>
      <c r="B3106" t="s">
        <v>314</v>
      </c>
      <c r="C3106">
        <v>121178</v>
      </c>
      <c r="D3106">
        <v>950</v>
      </c>
    </row>
    <row r="3107" spans="1:4" x14ac:dyDescent="0.25">
      <c r="A3107" t="str">
        <f>T("   700510")</f>
        <v xml:space="preserve">   700510</v>
      </c>
      <c r="B3107" t="str">
        <f>T("   PLAQUES OU FEUILLES EN GLACE [VERRE FLOTTÉ ET VERRE DOUCI OU POLI SUR UNE OU DEUX FACES], À COUCHE ABSORBANTE, RÉFLÉCHISSANTE OU NON-RÉFLÉCHISSANTE, MAIS NON AUTREMENT TRAVAILLÉE (SAUF ARMÉE)")</f>
        <v xml:space="preserve">   PLAQUES OU FEUILLES EN GLACE [VERRE FLOTTÉ ET VERRE DOUCI OU POLI SUR UNE OU DEUX FACES], À COUCHE ABSORBANTE, RÉFLÉCHISSANTE OU NON-RÉFLÉCHISSANTE, MAIS NON AUTREMENT TRAVAILLÉE (SAUF ARMÉE)</v>
      </c>
      <c r="C3107">
        <v>6038358</v>
      </c>
      <c r="D3107">
        <v>23078</v>
      </c>
    </row>
    <row r="3108" spans="1:4" x14ac:dyDescent="0.25">
      <c r="A3108" t="str">
        <f>T("   700521")</f>
        <v xml:space="preserve">   700521</v>
      </c>
      <c r="B3108" t="s">
        <v>317</v>
      </c>
      <c r="C3108">
        <v>6038358</v>
      </c>
      <c r="D3108">
        <v>25000</v>
      </c>
    </row>
    <row r="3109" spans="1:4" x14ac:dyDescent="0.25">
      <c r="A3109" t="str">
        <f>T("   701329")</f>
        <v xml:space="preserve">   701329</v>
      </c>
      <c r="B3109" t="str">
        <f>T("   Verres à boire (autres qu'en vitrocérame, autres qu'en cristal au plomb)")</f>
        <v xml:space="preserve">   Verres à boire (autres qu'en vitrocérame, autres qu'en cristal au plomb)</v>
      </c>
      <c r="C3109">
        <v>3813462</v>
      </c>
      <c r="D3109">
        <v>1656</v>
      </c>
    </row>
    <row r="3110" spans="1:4" x14ac:dyDescent="0.25">
      <c r="A3110" t="str">
        <f>T("   701790")</f>
        <v xml:space="preserve">   701790</v>
      </c>
      <c r="B3110" t="s">
        <v>332</v>
      </c>
      <c r="C3110">
        <v>81339</v>
      </c>
      <c r="D3110">
        <v>2</v>
      </c>
    </row>
    <row r="3111" spans="1:4" x14ac:dyDescent="0.25">
      <c r="A3111" t="str">
        <f>T("   720836")</f>
        <v xml:space="preserve">   720836</v>
      </c>
      <c r="B3111" t="str">
        <f>T("   PRODUITS LAMINÉS PLATS, EN FER OU EN ACIERS NON ALLIÉS, D'UNE LARGEUR &gt;= 600 MM, ENROULÉS, SIMPLEMENT LAMINÉS À CHAUD, NON PLAQUÉS NI REVÊTUS, ÉPAISSEUR &gt; 10 MM (SANS MOTIFS EN RELIEF, ET AUTRES QUE DÉCAPÉS)")</f>
        <v xml:space="preserve">   PRODUITS LAMINÉS PLATS, EN FER OU EN ACIERS NON ALLIÉS, D'UNE LARGEUR &gt;= 600 MM, ENROULÉS, SIMPLEMENT LAMINÉS À CHAUD, NON PLAQUÉS NI REVÊTUS, ÉPAISSEUR &gt; 10 MM (SANS MOTIFS EN RELIEF, ET AUTRES QUE DÉCAPÉS)</v>
      </c>
      <c r="C3111">
        <v>160416330</v>
      </c>
      <c r="D3111">
        <v>423330</v>
      </c>
    </row>
    <row r="3112" spans="1:4" x14ac:dyDescent="0.25">
      <c r="A3112" t="str">
        <f>T("   720915")</f>
        <v xml:space="preserve">   720915</v>
      </c>
      <c r="B3112" t="str">
        <f>T("   PRODUITS LAMINÉS PLATS, EN FER OU EN ACIERS NON ALLIÉS, D'UNE LARGEUR &gt;= 600 MM, ENROULÉS, SIMPLEMENT LAMINÉS À FROID, NON PLAQUÉS NI REVÊTUS, ÉPAISSEUR &gt;= 3 MM")</f>
        <v xml:space="preserve">   PRODUITS LAMINÉS PLATS, EN FER OU EN ACIERS NON ALLIÉS, D'UNE LARGEUR &gt;= 600 MM, ENROULÉS, SIMPLEMENT LAMINÉS À FROID, NON PLAQUÉS NI REVÊTUS, ÉPAISSEUR &gt;= 3 MM</v>
      </c>
      <c r="C3112">
        <v>101637722</v>
      </c>
      <c r="D3112">
        <v>247580</v>
      </c>
    </row>
    <row r="3113" spans="1:4" x14ac:dyDescent="0.25">
      <c r="A3113" t="str">
        <f>T("   720917")</f>
        <v xml:space="preserve">   720917</v>
      </c>
      <c r="B3113" t="str">
        <f>T("   PRODUITS LAMINÉS PLATS, EN FER OU EN ACIERS NON-ALLIÉS, D'UNE LARGEUR &gt;= 600 MM, NON-PLAQUÉS NI REVÊTUS, ENROULÉS, SIMPL. LAMINÉS À FROID, D'UNE ÉPAISSEUR &gt;= 0,5 MM MAIS &lt;= 1 MM")</f>
        <v xml:space="preserve">   PRODUITS LAMINÉS PLATS, EN FER OU EN ACIERS NON-ALLIÉS, D'UNE LARGEUR &gt;= 600 MM, NON-PLAQUÉS NI REVÊTUS, ENROULÉS, SIMPL. LAMINÉS À FROID, D'UNE ÉPAISSEUR &gt;= 0,5 MM MAIS &lt;= 1 MM</v>
      </c>
      <c r="C3113">
        <v>1061643054</v>
      </c>
      <c r="D3113">
        <v>2346265</v>
      </c>
    </row>
    <row r="3114" spans="1:4" x14ac:dyDescent="0.25">
      <c r="A3114" t="str">
        <f>T("   721391")</f>
        <v xml:space="preserve">   721391</v>
      </c>
      <c r="B3114" t="str">
        <f>T("   FIL MACHINE EN FER OU ACIERS NON-ALLIÉS, ENROULÉ EN COURONNES IRRÉGULIÈRES, DE SECTION CIRCULAIRE DE DIAMÈTRE &lt; 14 MM (AUTRE QU'EN ACIERS DE DÉCOLLETAGE ET AUTRE QUE FIL MACHINE AVEC INDENTATIONS, BOURRELETS, CREUX OU RELIEFS OBTENUS LORS DU LAMINAGE)")</f>
        <v xml:space="preserve">   FIL MACHINE EN FER OU ACIERS NON-ALLIÉS, ENROULÉ EN COURONNES IRRÉGULIÈRES, DE SECTION CIRCULAIRE DE DIAMÈTRE &lt; 14 MM (AUTRE QU'EN ACIERS DE DÉCOLLETAGE ET AUTRE QUE FIL MACHINE AVEC INDENTATIONS, BOURRELETS, CREUX OU RELIEFS OBTENUS LORS DU LAMINAGE)</v>
      </c>
      <c r="C3114">
        <v>3432583218</v>
      </c>
      <c r="D3114">
        <v>8978140</v>
      </c>
    </row>
    <row r="3115" spans="1:4" x14ac:dyDescent="0.25">
      <c r="A3115" t="str">
        <f>T("   721399")</f>
        <v xml:space="preserve">   721399</v>
      </c>
      <c r="B3115" t="s">
        <v>338</v>
      </c>
      <c r="C3115">
        <v>1285945749</v>
      </c>
      <c r="D3115">
        <v>3251000</v>
      </c>
    </row>
    <row r="3116" spans="1:4" x14ac:dyDescent="0.25">
      <c r="A3116" t="str">
        <f>T("   721420")</f>
        <v xml:space="preserve">   721420</v>
      </c>
      <c r="B3116" t="str">
        <f>T("   BARRES EN FER OU EN ACIERS NON ALLIÉS, COMPORTANT DES INDENTATIONS, BOURRELETS, CREUX OU RELIEFS OBTENUS AU COURS DU LAMINAGE OU AYANT SUBI UNE TORSION APRÈS LAMINAGE")</f>
        <v xml:space="preserve">   BARRES EN FER OU EN ACIERS NON ALLIÉS, COMPORTANT DES INDENTATIONS, BOURRELETS, CREUX OU RELIEFS OBTENUS AU COURS DU LAMINAGE OU AYANT SUBI UNE TORSION APRÈS LAMINAGE</v>
      </c>
      <c r="C3116">
        <v>34855762</v>
      </c>
      <c r="D3116">
        <v>93740</v>
      </c>
    </row>
    <row r="3117" spans="1:4" x14ac:dyDescent="0.25">
      <c r="A3117" t="str">
        <f>T("   721590")</f>
        <v xml:space="preserve">   721590</v>
      </c>
      <c r="B3117" t="str">
        <f>T("   Barres en fer ou en aciers non alliés, obtenues ou parachevées à froid et ayant subi certaines ouvraisons plus poussées ou obtenues à chaud et ayant subi certaines ouvraisons plus poussées, n.d.a.")</f>
        <v xml:space="preserve">   Barres en fer ou en aciers non alliés, obtenues ou parachevées à froid et ayant subi certaines ouvraisons plus poussées ou obtenues à chaud et ayant subi certaines ouvraisons plus poussées, n.d.a.</v>
      </c>
      <c r="C3117">
        <v>45376341</v>
      </c>
      <c r="D3117">
        <v>122040</v>
      </c>
    </row>
    <row r="3118" spans="1:4" x14ac:dyDescent="0.25">
      <c r="A3118" t="str">
        <f>T("   721730")</f>
        <v xml:space="preserve">   721730</v>
      </c>
      <c r="B3118" t="str">
        <f>T("   FILS EN FER OU EN ACIERS NON-ALLIÉS, ENROULÉS, REVÊTUS DE MÉTAUX COMMUNS (À L'EXCL. DES FILS ZINGUÉS AINSI QUE DU FIL MACHINE)")</f>
        <v xml:space="preserve">   FILS EN FER OU EN ACIERS NON-ALLIÉS, ENROULÉS, REVÊTUS DE MÉTAUX COMMUNS (À L'EXCL. DES FILS ZINGUÉS AINSI QUE DU FIL MACHINE)</v>
      </c>
      <c r="C3118">
        <v>18999881</v>
      </c>
      <c r="D3118">
        <v>21298</v>
      </c>
    </row>
    <row r="3119" spans="1:4" x14ac:dyDescent="0.25">
      <c r="A3119" t="str">
        <f>T("   730531")</f>
        <v xml:space="preserve">   730531</v>
      </c>
      <c r="B3119" t="str">
        <f>T("   Tubes et tuyaux, de section circulaire, d'un diamètre extérieur &gt; 406,4 mm, en fer ou en acier, soudés longitudinalement (sauf tubes et tuyaux des types utilisés pour les oléoducs ou gazoducs ou pour l'extraction de pétrole ou de gaz)")</f>
        <v xml:space="preserve">   Tubes et tuyaux, de section circulaire, d'un diamètre extérieur &gt; 406,4 mm, en fer ou en acier, soudés longitudinalement (sauf tubes et tuyaux des types utilisés pour les oléoducs ou gazoducs ou pour l'extraction de pétrole ou de gaz)</v>
      </c>
      <c r="C3119">
        <v>8738838</v>
      </c>
      <c r="D3119">
        <v>27000</v>
      </c>
    </row>
    <row r="3120" spans="1:4" x14ac:dyDescent="0.25">
      <c r="A3120" t="str">
        <f>T("   730721")</f>
        <v xml:space="preserve">   730721</v>
      </c>
      <c r="B3120" t="str">
        <f>T("   Brides en aciers inoxydables (non moulés)")</f>
        <v xml:space="preserve">   Brides en aciers inoxydables (non moulés)</v>
      </c>
      <c r="C3120">
        <v>59334</v>
      </c>
      <c r="D3120">
        <v>3</v>
      </c>
    </row>
    <row r="3121" spans="1:4" x14ac:dyDescent="0.25">
      <c r="A3121" t="str">
        <f>T("   730729")</f>
        <v xml:space="preserve">   730729</v>
      </c>
      <c r="B3121" t="str">
        <f>T("   ACCESSOIRES DE TUYAUTERIE, EN ACIERS INOXYDABLES (NON-MOULÉS ET SAUF BRIDES; COUDES, COURBES ET MANCHONS FILETÉS; ACCESSOIRES À SOUDER BOUT À BOUT)")</f>
        <v xml:space="preserve">   ACCESSOIRES DE TUYAUTERIE, EN ACIERS INOXYDABLES (NON-MOULÉS ET SAUF BRIDES; COUDES, COURBES ET MANCHONS FILETÉS; ACCESSOIRES À SOUDER BOUT À BOUT)</v>
      </c>
      <c r="C3121">
        <v>640263</v>
      </c>
      <c r="D3121">
        <v>6</v>
      </c>
    </row>
    <row r="3122" spans="1:4" x14ac:dyDescent="0.25">
      <c r="A3122" t="str">
        <f>T("   730791")</f>
        <v xml:space="preserve">   730791</v>
      </c>
      <c r="B3122" t="str">
        <f>T("   Brides en fer ou aciers (autres que moulés ou en acier inoxydable)")</f>
        <v xml:space="preserve">   Brides en fer ou aciers (autres que moulés ou en acier inoxydable)</v>
      </c>
      <c r="C3122">
        <v>102986</v>
      </c>
      <c r="D3122">
        <v>1</v>
      </c>
    </row>
    <row r="3123" spans="1:4" x14ac:dyDescent="0.25">
      <c r="A3123" t="str">
        <f>T("   730799")</f>
        <v xml:space="preserve">   730799</v>
      </c>
      <c r="B3123" t="str">
        <f>T("   Accessoires de tuyauterie, en fer ou aciers (autres que moulés ou en aciers inoxydables; sauf brides; coudes, courbes et manchons, filetés et sauf accessoires à souder bout à bout)")</f>
        <v xml:space="preserve">   Accessoires de tuyauterie, en fer ou aciers (autres que moulés ou en aciers inoxydables; sauf brides; coudes, courbes et manchons, filetés et sauf accessoires à souder bout à bout)</v>
      </c>
      <c r="C3123">
        <v>807126</v>
      </c>
      <c r="D3123">
        <v>3</v>
      </c>
    </row>
    <row r="3124" spans="1:4" x14ac:dyDescent="0.25">
      <c r="A3124" t="str">
        <f>T("   730830")</f>
        <v xml:space="preserve">   730830</v>
      </c>
      <c r="B3124" t="str">
        <f>T("   Portes, fenêtres et leurs cadres et chambranles ainsi que leurs seuils, en fer ou en acier")</f>
        <v xml:space="preserve">   Portes, fenêtres et leurs cadres et chambranles ainsi que leurs seuils, en fer ou en acier</v>
      </c>
      <c r="C3124">
        <v>206454</v>
      </c>
      <c r="D3124">
        <v>112</v>
      </c>
    </row>
    <row r="3125" spans="1:4" x14ac:dyDescent="0.25">
      <c r="A3125" t="str">
        <f>T("   730890")</f>
        <v xml:space="preserve">   730890</v>
      </c>
      <c r="B3125" t="s">
        <v>349</v>
      </c>
      <c r="C3125">
        <v>3920016</v>
      </c>
      <c r="D3125">
        <v>4038</v>
      </c>
    </row>
    <row r="3126" spans="1:4" x14ac:dyDescent="0.25">
      <c r="A3126" t="str">
        <f>T("   730900")</f>
        <v xml:space="preserve">   730900</v>
      </c>
      <c r="B3126" t="s">
        <v>350</v>
      </c>
      <c r="C3126">
        <v>31486</v>
      </c>
      <c r="D3126">
        <v>136</v>
      </c>
    </row>
    <row r="3127" spans="1:4" x14ac:dyDescent="0.25">
      <c r="A3127" t="str">
        <f>T("   731010")</f>
        <v xml:space="preserve">   731010</v>
      </c>
      <c r="B3127" t="str">
        <f>T("   RÉSERVOIRS, F¹TS, TAMBOURS, BIDONS, BOÎTES ET RÉCIPIENTS SIMIL. EN FONTE, FER OU ACIER, POUR TOUTES MATIÈRES, CONTENANCE &gt;= 50 L MAIS &lt;= 300 L, N.D.A. (À L'EXCL. DES GAZ COMPRIMÉS OU LIQUÉFIÉS ET SAUF AVEC DISPOSITIFS MÉCANIQUES OU THERMIQUES)")</f>
        <v xml:space="preserve">   RÉSERVOIRS, F¹TS, TAMBOURS, BIDONS, BOÎTES ET RÉCIPIENTS SIMIL. EN FONTE, FER OU ACIER, POUR TOUTES MATIÈRES, CONTENANCE &gt;= 50 L MAIS &lt;= 300 L, N.D.A. (À L'EXCL. DES GAZ COMPRIMÉS OU LIQUÉFIÉS ET SAUF AVEC DISPOSITIFS MÉCANIQUES OU THERMIQUES)</v>
      </c>
      <c r="C3127">
        <v>5200000</v>
      </c>
      <c r="D3127">
        <v>4428</v>
      </c>
    </row>
    <row r="3128" spans="1:4" x14ac:dyDescent="0.25">
      <c r="A3128" t="str">
        <f>T("   731100")</f>
        <v xml:space="preserve">   731100</v>
      </c>
      <c r="B3128" t="str">
        <f>T("   Récipients en fonte, fer ou acier, pour gaz comprimés ou liquéfiés (autres que conteneurs spécialement conçus ou équipés pour un ou plusieurs moyens de transport)")</f>
        <v xml:space="preserve">   Récipients en fonte, fer ou acier, pour gaz comprimés ou liquéfiés (autres que conteneurs spécialement conçus ou équipés pour un ou plusieurs moyens de transport)</v>
      </c>
      <c r="C3128">
        <v>8179460</v>
      </c>
      <c r="D3128">
        <v>8281</v>
      </c>
    </row>
    <row r="3129" spans="1:4" x14ac:dyDescent="0.25">
      <c r="A3129" t="str">
        <f>T("   731512")</f>
        <v xml:space="preserve">   731512</v>
      </c>
      <c r="B3129" t="str">
        <f>T("   Chaînes à maillons articulés en fonte, fer ou acier (autres qu'à rouleaux)")</f>
        <v xml:space="preserve">   Chaînes à maillons articulés en fonte, fer ou acier (autres qu'à rouleaux)</v>
      </c>
      <c r="C3129">
        <v>5430692</v>
      </c>
      <c r="D3129">
        <v>587</v>
      </c>
    </row>
    <row r="3130" spans="1:4" x14ac:dyDescent="0.25">
      <c r="A3130" t="str">
        <f>T("   731590")</f>
        <v xml:space="preserve">   731590</v>
      </c>
      <c r="B3130" t="str">
        <f>T("   Parties de chaînes et chaînettes antidérapantes, à maillons à étais, et autres chaînes et chaînettes du n° 7315 (sauf de chaînes à maillons articulés)")</f>
        <v xml:space="preserve">   Parties de chaînes et chaînettes antidérapantes, à maillons à étais, et autres chaînes et chaînettes du n° 7315 (sauf de chaînes à maillons articulés)</v>
      </c>
      <c r="C3130">
        <v>26521775</v>
      </c>
      <c r="D3130">
        <v>3656</v>
      </c>
    </row>
    <row r="3131" spans="1:4" x14ac:dyDescent="0.25">
      <c r="A3131" t="str">
        <f>T("   731815")</f>
        <v xml:space="preserve">   731815</v>
      </c>
      <c r="B3131" t="s">
        <v>354</v>
      </c>
      <c r="C3131">
        <v>3604911</v>
      </c>
      <c r="D3131">
        <v>375.25</v>
      </c>
    </row>
    <row r="3132" spans="1:4" x14ac:dyDescent="0.25">
      <c r="A3132" t="str">
        <f>T("   731816")</f>
        <v xml:space="preserve">   731816</v>
      </c>
      <c r="B3132" t="str">
        <f>T("   ÉCROUS EN FONTE, FER OU ACIER")</f>
        <v xml:space="preserve">   ÉCROUS EN FONTE, FER OU ACIER</v>
      </c>
      <c r="C3132">
        <v>323388</v>
      </c>
      <c r="D3132">
        <v>1</v>
      </c>
    </row>
    <row r="3133" spans="1:4" x14ac:dyDescent="0.25">
      <c r="A3133" t="str">
        <f>T("   731819")</f>
        <v xml:space="preserve">   731819</v>
      </c>
      <c r="B3133" t="str">
        <f>T("   Articles de boulonnerie et de visserie, filetés, en fonte, fer ou acier, n.d.a.")</f>
        <v xml:space="preserve">   Articles de boulonnerie et de visserie, filetés, en fonte, fer ou acier, n.d.a.</v>
      </c>
      <c r="C3133">
        <v>466854</v>
      </c>
      <c r="D3133">
        <v>7</v>
      </c>
    </row>
    <row r="3134" spans="1:4" x14ac:dyDescent="0.25">
      <c r="A3134" t="str">
        <f>T("   731821")</f>
        <v xml:space="preserve">   731821</v>
      </c>
      <c r="B3134" t="str">
        <f>T("   Rondelles destinées à faire ressort et autres rondelles de blocage, en fonte, fer ou acier")</f>
        <v xml:space="preserve">   Rondelles destinées à faire ressort et autres rondelles de blocage, en fonte, fer ou acier</v>
      </c>
      <c r="C3134">
        <v>8173923</v>
      </c>
      <c r="D3134">
        <v>5</v>
      </c>
    </row>
    <row r="3135" spans="1:4" x14ac:dyDescent="0.25">
      <c r="A3135" t="str">
        <f>T("   731822")</f>
        <v xml:space="preserve">   731822</v>
      </c>
      <c r="B3135" t="str">
        <f>T("   Rondelles en fonte, fer ou acier (sauf rondelles destinées à faire ressort et autres rondelles de blocage)")</f>
        <v xml:space="preserve">   Rondelles en fonte, fer ou acier (sauf rondelles destinées à faire ressort et autres rondelles de blocage)</v>
      </c>
      <c r="C3135">
        <v>113707</v>
      </c>
      <c r="D3135">
        <v>1</v>
      </c>
    </row>
    <row r="3136" spans="1:4" x14ac:dyDescent="0.25">
      <c r="A3136" t="str">
        <f>T("   731823")</f>
        <v xml:space="preserve">   731823</v>
      </c>
      <c r="B3136" t="str">
        <f>T("   Rivets en fonte, fer ou acier (autres que rivets tubulaires ou rivets à deux pièces tubulaires destinés à des usages divers)")</f>
        <v xml:space="preserve">   Rivets en fonte, fer ou acier (autres que rivets tubulaires ou rivets à deux pièces tubulaires destinés à des usages divers)</v>
      </c>
      <c r="C3136">
        <v>16320</v>
      </c>
      <c r="D3136">
        <v>1</v>
      </c>
    </row>
    <row r="3137" spans="1:4" x14ac:dyDescent="0.25">
      <c r="A3137" t="str">
        <f>T("   731824")</f>
        <v xml:space="preserve">   731824</v>
      </c>
      <c r="B3137" t="str">
        <f>T("   Goupilles, chevilles et clavettes en fonte, fer ou acier")</f>
        <v xml:space="preserve">   Goupilles, chevilles et clavettes en fonte, fer ou acier</v>
      </c>
      <c r="C3137">
        <v>184633</v>
      </c>
      <c r="D3137">
        <v>2</v>
      </c>
    </row>
    <row r="3138" spans="1:4" x14ac:dyDescent="0.25">
      <c r="A3138" t="str">
        <f>T("   732090")</f>
        <v xml:space="preserve">   732090</v>
      </c>
      <c r="B3138" t="s">
        <v>355</v>
      </c>
      <c r="C3138">
        <v>4941864</v>
      </c>
      <c r="D3138">
        <v>438.5</v>
      </c>
    </row>
    <row r="3139" spans="1:4" x14ac:dyDescent="0.25">
      <c r="A3139" t="str">
        <f>T("   732393")</f>
        <v xml:space="preserve">   732393</v>
      </c>
      <c r="B3139" t="s">
        <v>360</v>
      </c>
      <c r="C3139">
        <v>653166</v>
      </c>
      <c r="D3139">
        <v>34</v>
      </c>
    </row>
    <row r="3140" spans="1:4" x14ac:dyDescent="0.25">
      <c r="A3140" t="str">
        <f>T("   732394")</f>
        <v xml:space="preserve">   732394</v>
      </c>
      <c r="B3140" t="s">
        <v>361</v>
      </c>
      <c r="C3140">
        <v>1701945</v>
      </c>
      <c r="D3140">
        <v>2203</v>
      </c>
    </row>
    <row r="3141" spans="1:4" x14ac:dyDescent="0.25">
      <c r="A3141" t="str">
        <f>T("   732399")</f>
        <v xml:space="preserve">   732399</v>
      </c>
      <c r="B3141" t="s">
        <v>362</v>
      </c>
      <c r="C3141">
        <v>8803846</v>
      </c>
      <c r="D3141">
        <v>13726</v>
      </c>
    </row>
    <row r="3142" spans="1:4" x14ac:dyDescent="0.25">
      <c r="A3142" t="str">
        <f>T("   732490")</f>
        <v xml:space="preserve">   732490</v>
      </c>
      <c r="B3142" t="s">
        <v>363</v>
      </c>
      <c r="C3142">
        <v>2669102</v>
      </c>
      <c r="D3142">
        <v>206</v>
      </c>
    </row>
    <row r="3143" spans="1:4" x14ac:dyDescent="0.25">
      <c r="A3143" t="str">
        <f>T("   732690")</f>
        <v xml:space="preserve">   732690</v>
      </c>
      <c r="B3143"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3143">
        <v>5080054</v>
      </c>
      <c r="D3143">
        <v>106</v>
      </c>
    </row>
    <row r="3144" spans="1:4" x14ac:dyDescent="0.25">
      <c r="A3144" t="str">
        <f>T("   741820")</f>
        <v xml:space="preserve">   741820</v>
      </c>
      <c r="B3144" t="str">
        <f>T("   Articles d'hygiène ou de toilette et leurs parties, en cuivre (sauf bidons, boîtes et récipients simil. du n° 7419 et sauf accessoires de tuyauterie)")</f>
        <v xml:space="preserve">   Articles d'hygiène ou de toilette et leurs parties, en cuivre (sauf bidons, boîtes et récipients simil. du n° 7419 et sauf accessoires de tuyauterie)</v>
      </c>
      <c r="C3144">
        <v>1498213</v>
      </c>
      <c r="D3144">
        <v>111</v>
      </c>
    </row>
    <row r="3145" spans="1:4" x14ac:dyDescent="0.25">
      <c r="A3145" t="str">
        <f>T("   760421")</f>
        <v xml:space="preserve">   760421</v>
      </c>
      <c r="B3145" t="str">
        <f>T("   Profilés creux en alliages d'aluminium, n.d.a.")</f>
        <v xml:space="preserve">   Profilés creux en alliages d'aluminium, n.d.a.</v>
      </c>
      <c r="C3145">
        <v>33452398</v>
      </c>
      <c r="D3145">
        <v>30600</v>
      </c>
    </row>
    <row r="3146" spans="1:4" x14ac:dyDescent="0.25">
      <c r="A3146" t="str">
        <f>T("   760429")</f>
        <v xml:space="preserve">   760429</v>
      </c>
      <c r="B3146" t="str">
        <f>T("   Barres et profilés pleins en alliages d'aluminium, n.d.a.")</f>
        <v xml:space="preserve">   Barres et profilés pleins en alliages d'aluminium, n.d.a.</v>
      </c>
      <c r="C3146">
        <v>7446458</v>
      </c>
      <c r="D3146">
        <v>1263</v>
      </c>
    </row>
    <row r="3147" spans="1:4" x14ac:dyDescent="0.25">
      <c r="A3147" t="str">
        <f>T("   760719")</f>
        <v xml:space="preserve">   760719</v>
      </c>
      <c r="B3147" t="str">
        <f>T("   Feuilles et bandes minces d'aluminium, sans support, laminées et autrement traitées, d'une épaisseur &lt;= 0,2 mm (sauf feuilles pour le marquage au fer du n° 3212 et sauf feuilles travaillées pour la décoration des sapins de Noël)")</f>
        <v xml:space="preserve">   Feuilles et bandes minces d'aluminium, sans support, laminées et autrement traitées, d'une épaisseur &lt;= 0,2 mm (sauf feuilles pour le marquage au fer du n° 3212 et sauf feuilles travaillées pour la décoration des sapins de Noël)</v>
      </c>
      <c r="C3147">
        <v>43390231</v>
      </c>
      <c r="D3147">
        <v>3499</v>
      </c>
    </row>
    <row r="3148" spans="1:4" x14ac:dyDescent="0.25">
      <c r="A3148" t="str">
        <f>T("   761699")</f>
        <v xml:space="preserve">   761699</v>
      </c>
      <c r="B3148" t="str">
        <f>T("   Ouvrages en aluminium, n.d.a.")</f>
        <v xml:space="preserve">   Ouvrages en aluminium, n.d.a.</v>
      </c>
      <c r="C3148">
        <v>3535624</v>
      </c>
      <c r="D3148">
        <v>3306</v>
      </c>
    </row>
    <row r="3149" spans="1:4" x14ac:dyDescent="0.25">
      <c r="A3149" t="str">
        <f>T("   820411")</f>
        <v xml:space="preserve">   820411</v>
      </c>
      <c r="B3149" t="str">
        <f>T("   Clés de serrage à main, y.c. -les clés dynamométriques-, en métaux communs, à ouverture fixe")</f>
        <v xml:space="preserve">   Clés de serrage à main, y.c. -les clés dynamométriques-, en métaux communs, à ouverture fixe</v>
      </c>
      <c r="C3149">
        <v>121884</v>
      </c>
      <c r="D3149">
        <v>1</v>
      </c>
    </row>
    <row r="3150" spans="1:4" x14ac:dyDescent="0.25">
      <c r="A3150" t="str">
        <f>T("   820540")</f>
        <v xml:space="preserve">   820540</v>
      </c>
      <c r="B3150" t="str">
        <f>T("   Tournevis à main")</f>
        <v xml:space="preserve">   Tournevis à main</v>
      </c>
      <c r="C3150">
        <v>80355</v>
      </c>
      <c r="D3150">
        <v>40</v>
      </c>
    </row>
    <row r="3151" spans="1:4" x14ac:dyDescent="0.25">
      <c r="A3151" t="str">
        <f>T("   820559")</f>
        <v xml:space="preserve">   820559</v>
      </c>
      <c r="B3151" t="str">
        <f>T("   Outils à main, y.c. -les diamants de vitrier-, en métaux communs, n.d.a.")</f>
        <v xml:space="preserve">   Outils à main, y.c. -les diamants de vitrier-, en métaux communs, n.d.a.</v>
      </c>
      <c r="C3151">
        <v>4320808</v>
      </c>
      <c r="D3151">
        <v>295</v>
      </c>
    </row>
    <row r="3152" spans="1:4" x14ac:dyDescent="0.25">
      <c r="A3152" t="str">
        <f>T("   820790")</f>
        <v xml:space="preserve">   820790</v>
      </c>
      <c r="B3152" t="str">
        <f>T("   Outils interchangeables pour outillage à main, mécanique ou non, ou pour machines-outils, n.d.a.")</f>
        <v xml:space="preserve">   Outils interchangeables pour outillage à main, mécanique ou non, ou pour machines-outils, n.d.a.</v>
      </c>
      <c r="C3152">
        <v>6703492</v>
      </c>
      <c r="D3152">
        <v>17498</v>
      </c>
    </row>
    <row r="3153" spans="1:4" x14ac:dyDescent="0.25">
      <c r="A3153" t="str">
        <f>T("   830249")</f>
        <v xml:space="preserve">   830249</v>
      </c>
      <c r="B3153" t="s">
        <v>375</v>
      </c>
      <c r="C3153">
        <v>400000</v>
      </c>
      <c r="D3153">
        <v>400</v>
      </c>
    </row>
    <row r="3154" spans="1:4" x14ac:dyDescent="0.25">
      <c r="A3154" t="str">
        <f>T("   830710")</f>
        <v xml:space="preserve">   830710</v>
      </c>
      <c r="B3154" t="str">
        <f>T("   Tuyaux flexibles en fer ou en acier, même avec accessoires")</f>
        <v xml:space="preserve">   Tuyaux flexibles en fer ou en acier, même avec accessoires</v>
      </c>
      <c r="C3154">
        <v>2800024</v>
      </c>
      <c r="D3154">
        <v>84</v>
      </c>
    </row>
    <row r="3155" spans="1:4" x14ac:dyDescent="0.25">
      <c r="A3155" t="str">
        <f>T("   830910")</f>
        <v xml:space="preserve">   830910</v>
      </c>
      <c r="B3155" t="str">
        <f>T("   Bouchons-couronnes en métaux communs")</f>
        <v xml:space="preserve">   Bouchons-couronnes en métaux communs</v>
      </c>
      <c r="C3155">
        <v>138788116</v>
      </c>
      <c r="D3155">
        <v>64501</v>
      </c>
    </row>
    <row r="3156" spans="1:4" x14ac:dyDescent="0.25">
      <c r="A3156" t="str">
        <f>T("   831000")</f>
        <v xml:space="preserve">   831000</v>
      </c>
      <c r="B3156" t="s">
        <v>378</v>
      </c>
      <c r="C3156">
        <v>94310904</v>
      </c>
      <c r="D3156">
        <v>7652</v>
      </c>
    </row>
    <row r="3157" spans="1:4" x14ac:dyDescent="0.25">
      <c r="A3157" t="str">
        <f>T("   840290")</f>
        <v xml:space="preserve">   840290</v>
      </c>
      <c r="B3157" t="str">
        <f>T("   Parties de chaudières à vapeur et de chaudières dites -à eau surchauffée-, n.d.a.")</f>
        <v xml:space="preserve">   Parties de chaudières à vapeur et de chaudières dites -à eau surchauffée-, n.d.a.</v>
      </c>
      <c r="C3157">
        <v>62896069</v>
      </c>
      <c r="D3157">
        <v>9400</v>
      </c>
    </row>
    <row r="3158" spans="1:4" x14ac:dyDescent="0.25">
      <c r="A3158" t="str">
        <f>T("   840734")</f>
        <v xml:space="preserve">   840734</v>
      </c>
      <c r="B3158" t="s">
        <v>386</v>
      </c>
      <c r="C3158">
        <v>8150000</v>
      </c>
      <c r="D3158">
        <v>15500</v>
      </c>
    </row>
    <row r="3159" spans="1:4" x14ac:dyDescent="0.25">
      <c r="A3159" t="str">
        <f>T("   840790")</f>
        <v xml:space="preserve">   840790</v>
      </c>
      <c r="B3159" t="s">
        <v>387</v>
      </c>
      <c r="C3159">
        <v>4393186</v>
      </c>
      <c r="D3159">
        <v>9307</v>
      </c>
    </row>
    <row r="3160" spans="1:4" x14ac:dyDescent="0.25">
      <c r="A3160" t="str">
        <f>T("   840820")</f>
        <v xml:space="preserve">   840820</v>
      </c>
      <c r="B3160" t="s">
        <v>388</v>
      </c>
      <c r="C3160">
        <v>3460279</v>
      </c>
      <c r="D3160">
        <v>13300</v>
      </c>
    </row>
    <row r="3161" spans="1:4" x14ac:dyDescent="0.25">
      <c r="A3161" t="str">
        <f>T("   840890")</f>
        <v xml:space="preserve">   840890</v>
      </c>
      <c r="B3161" t="s">
        <v>389</v>
      </c>
      <c r="C3161">
        <v>2880970</v>
      </c>
      <c r="D3161">
        <v>12163</v>
      </c>
    </row>
    <row r="3162" spans="1:4" x14ac:dyDescent="0.25">
      <c r="A3162" t="str">
        <f>T("   840999")</f>
        <v xml:space="preserve">   840999</v>
      </c>
      <c r="B3162" t="str">
        <f>T("   Parties reconnaissables comme étant exclusivement ou principalement destinées aux moteurs à piston à allumage par compression, n.d.a.")</f>
        <v xml:space="preserve">   Parties reconnaissables comme étant exclusivement ou principalement destinées aux moteurs à piston à allumage par compression, n.d.a.</v>
      </c>
      <c r="C3162">
        <v>2911150</v>
      </c>
      <c r="D3162">
        <v>63.5</v>
      </c>
    </row>
    <row r="3163" spans="1:4" x14ac:dyDescent="0.25">
      <c r="A3163" t="str">
        <f>T("   841231")</f>
        <v xml:space="preserve">   841231</v>
      </c>
      <c r="B3163" t="str">
        <f>T("   Moteurs pneumatiques, à mouvement rectiligne -cylindres-")</f>
        <v xml:space="preserve">   Moteurs pneumatiques, à mouvement rectiligne -cylindres-</v>
      </c>
      <c r="C3163">
        <v>356465</v>
      </c>
      <c r="D3163">
        <v>6</v>
      </c>
    </row>
    <row r="3164" spans="1:4" x14ac:dyDescent="0.25">
      <c r="A3164" t="str">
        <f>T("   841320")</f>
        <v xml:space="preserve">   841320</v>
      </c>
      <c r="B3164" t="str">
        <f>T("   Pompes à bras pour liquides (sauf les pompes avec dispositif mesureur ou conçues pour en comporter du n° 8413.11 ou 8413.19)")</f>
        <v xml:space="preserve">   Pompes à bras pour liquides (sauf les pompes avec dispositif mesureur ou conçues pour en comporter du n° 8413.11 ou 8413.19)</v>
      </c>
      <c r="C3164">
        <v>966845</v>
      </c>
      <c r="D3164">
        <v>601</v>
      </c>
    </row>
    <row r="3165" spans="1:4" x14ac:dyDescent="0.25">
      <c r="A3165" t="str">
        <f>T("   841370")</f>
        <v xml:space="preserve">   841370</v>
      </c>
      <c r="B3165" t="s">
        <v>392</v>
      </c>
      <c r="C3165">
        <v>3832276</v>
      </c>
      <c r="D3165">
        <v>440</v>
      </c>
    </row>
    <row r="3166" spans="1:4" x14ac:dyDescent="0.25">
      <c r="A3166" t="str">
        <f>T("   841381")</f>
        <v xml:space="preserve">   841381</v>
      </c>
      <c r="B3166" t="s">
        <v>393</v>
      </c>
      <c r="C3166">
        <v>154151</v>
      </c>
      <c r="D3166">
        <v>9</v>
      </c>
    </row>
    <row r="3167" spans="1:4" x14ac:dyDescent="0.25">
      <c r="A3167" t="str">
        <f>T("   841391")</f>
        <v xml:space="preserve">   841391</v>
      </c>
      <c r="B3167" t="str">
        <f>T("   Parties de pompes pour liquides, n.d.a.")</f>
        <v xml:space="preserve">   Parties de pompes pour liquides, n.d.a.</v>
      </c>
      <c r="C3167">
        <v>7277860</v>
      </c>
      <c r="D3167">
        <v>139.4</v>
      </c>
    </row>
    <row r="3168" spans="1:4" x14ac:dyDescent="0.25">
      <c r="A3168" t="str">
        <f>T("   841420")</f>
        <v xml:space="preserve">   841420</v>
      </c>
      <c r="B3168" t="str">
        <f>T("   Pompes à air, à main ou à pied")</f>
        <v xml:space="preserve">   Pompes à air, à main ou à pied</v>
      </c>
      <c r="C3168">
        <v>50509</v>
      </c>
      <c r="D3168">
        <v>500</v>
      </c>
    </row>
    <row r="3169" spans="1:4" x14ac:dyDescent="0.25">
      <c r="A3169" t="str">
        <f>T("   841430")</f>
        <v xml:space="preserve">   841430</v>
      </c>
      <c r="B3169" t="str">
        <f>T("   Compresseurs des types utilisés pour équipements frigorifiques")</f>
        <v xml:space="preserve">   Compresseurs des types utilisés pour équipements frigorifiques</v>
      </c>
      <c r="C3169">
        <v>484531</v>
      </c>
      <c r="D3169">
        <v>192</v>
      </c>
    </row>
    <row r="3170" spans="1:4" x14ac:dyDescent="0.25">
      <c r="A3170" t="str">
        <f>T("   841440")</f>
        <v xml:space="preserve">   841440</v>
      </c>
      <c r="B3170" t="str">
        <f>T("   Compresseurs d'air montés sur châssis à roues et remorquables")</f>
        <v xml:space="preserve">   Compresseurs d'air montés sur châssis à roues et remorquables</v>
      </c>
      <c r="C3170">
        <v>8978125</v>
      </c>
      <c r="D3170">
        <v>903</v>
      </c>
    </row>
    <row r="3171" spans="1:4" x14ac:dyDescent="0.25">
      <c r="A3171" t="str">
        <f>T("   841480")</f>
        <v xml:space="preserve">   841480</v>
      </c>
      <c r="B3171" t="s">
        <v>394</v>
      </c>
      <c r="C3171">
        <v>756620</v>
      </c>
      <c r="D3171">
        <v>442</v>
      </c>
    </row>
    <row r="3172" spans="1:4" x14ac:dyDescent="0.25">
      <c r="A3172" t="str">
        <f>T("   841490")</f>
        <v xml:space="preserve">   841490</v>
      </c>
      <c r="B3172" t="str">
        <f>T("   Parties de pompes à air ou à vide, de compresseurs d'air ou d'autres gaz et de ventilateurs, de hottes aspirantes à extraction ou à recyclage, à ventilateur incorporé, n.d.a.")</f>
        <v xml:space="preserve">   Parties de pompes à air ou à vide, de compresseurs d'air ou d'autres gaz et de ventilateurs, de hottes aspirantes à extraction ou à recyclage, à ventilateur incorporé, n.d.a.</v>
      </c>
      <c r="C3172">
        <v>5645935</v>
      </c>
      <c r="D3172">
        <v>483</v>
      </c>
    </row>
    <row r="3173" spans="1:4" x14ac:dyDescent="0.25">
      <c r="A3173" t="str">
        <f>T("   841510")</f>
        <v xml:space="preserve">   841510</v>
      </c>
      <c r="B3173" t="s">
        <v>395</v>
      </c>
      <c r="C3173">
        <v>120000</v>
      </c>
      <c r="D3173">
        <v>40</v>
      </c>
    </row>
    <row r="3174" spans="1:4" x14ac:dyDescent="0.25">
      <c r="A3174" t="str">
        <f>T("   841582")</f>
        <v xml:space="preserve">   841582</v>
      </c>
      <c r="B3174" t="s">
        <v>397</v>
      </c>
      <c r="C3174">
        <v>5265190</v>
      </c>
      <c r="D3174">
        <v>54</v>
      </c>
    </row>
    <row r="3175" spans="1:4" x14ac:dyDescent="0.25">
      <c r="A3175" t="str">
        <f>T("   841590")</f>
        <v xml:space="preserve">   841590</v>
      </c>
      <c r="B3175" t="str">
        <f>T("   Parties de machines et appareils pour le conditionnement de l'air comprenant un ventilateur à moteur et des dispositifs propres à modifier la température et l'humidité de l'air, n.d.a.")</f>
        <v xml:space="preserve">   Parties de machines et appareils pour le conditionnement de l'air comprenant un ventilateur à moteur et des dispositifs propres à modifier la température et l'humidité de l'air, n.d.a.</v>
      </c>
      <c r="C3175">
        <v>1172201</v>
      </c>
      <c r="D3175">
        <v>10</v>
      </c>
    </row>
    <row r="3176" spans="1:4" x14ac:dyDescent="0.25">
      <c r="A3176" t="str">
        <f>T("   841790")</f>
        <v xml:space="preserve">   841790</v>
      </c>
      <c r="B3176" t="str">
        <f>T("   Parties de fours industriels ou de laboratoire non-électriques, y.c. d'incinérateurs, n.d.a.")</f>
        <v xml:space="preserve">   Parties de fours industriels ou de laboratoire non-électriques, y.c. d'incinérateurs, n.d.a.</v>
      </c>
      <c r="C3176">
        <v>16422615</v>
      </c>
      <c r="D3176">
        <v>2030</v>
      </c>
    </row>
    <row r="3177" spans="1:4" x14ac:dyDescent="0.25">
      <c r="A3177" t="str">
        <f>T("   841821")</f>
        <v xml:space="preserve">   841821</v>
      </c>
      <c r="B3177" t="str">
        <f>T("   Réfrigérateurs ménagers à compression")</f>
        <v xml:space="preserve">   Réfrigérateurs ménagers à compression</v>
      </c>
      <c r="C3177">
        <v>758946</v>
      </c>
      <c r="D3177">
        <v>960</v>
      </c>
    </row>
    <row r="3178" spans="1:4" x14ac:dyDescent="0.25">
      <c r="A3178" t="str">
        <f>T("   841829")</f>
        <v xml:space="preserve">   841829</v>
      </c>
      <c r="B3178" t="str">
        <f>T("   Réfrigérateurs ménagers à absorption, non-électriques")</f>
        <v xml:space="preserve">   Réfrigérateurs ménagers à absorption, non-électriques</v>
      </c>
      <c r="C3178">
        <v>10413588</v>
      </c>
      <c r="D3178">
        <v>30355</v>
      </c>
    </row>
    <row r="3179" spans="1:4" x14ac:dyDescent="0.25">
      <c r="A3179" t="str">
        <f>T("   841869")</f>
        <v xml:space="preserve">   841869</v>
      </c>
      <c r="B3179" t="str">
        <f>T("   Matériel, machines et appareils pour la production du froid ainsi que pompes à chaleur à absorption (autres que réfrigérateurs et meubles congélateurs-conservateurs)")</f>
        <v xml:space="preserve">   Matériel, machines et appareils pour la production du froid ainsi que pompes à chaleur à absorption (autres que réfrigérateurs et meubles congélateurs-conservateurs)</v>
      </c>
      <c r="C3179">
        <v>3252348</v>
      </c>
      <c r="D3179">
        <v>384</v>
      </c>
    </row>
    <row r="3180" spans="1:4" x14ac:dyDescent="0.25">
      <c r="A3180" t="str">
        <f>T("   841899")</f>
        <v xml:space="preserve">   841899</v>
      </c>
      <c r="B3180" t="str">
        <f>T("   Parties de réfrigérateurs et de congélateurs-conservateurs du type armoire et du type coffre et d'autres matériel, machines et appareils pour la production du froid, parties de pompes à chaleur, n.d.a.")</f>
        <v xml:space="preserve">   Parties de réfrigérateurs et de congélateurs-conservateurs du type armoire et du type coffre et d'autres matériel, machines et appareils pour la production du froid, parties de pompes à chaleur, n.d.a.</v>
      </c>
      <c r="C3180">
        <v>1881726</v>
      </c>
      <c r="D3180">
        <v>8</v>
      </c>
    </row>
    <row r="3181" spans="1:4" x14ac:dyDescent="0.25">
      <c r="A3181" t="str">
        <f>T("   841950")</f>
        <v xml:space="preserve">   841950</v>
      </c>
      <c r="B3181" t="str">
        <f>T("   Echangeurs de chaleur (à l'excl. des chauffe-eau à chauffage instantané ou à accumulation, des chaudières de chauffage central et des appareils dans lesquels l'échange thermique ne s'effectue pas à travers une paroi)")</f>
        <v xml:space="preserve">   Echangeurs de chaleur (à l'excl. des chauffe-eau à chauffage instantané ou à accumulation, des chaudières de chauffage central et des appareils dans lesquels l'échange thermique ne s'effectue pas à travers une paroi)</v>
      </c>
      <c r="C3181">
        <v>17681297</v>
      </c>
      <c r="D3181">
        <v>429</v>
      </c>
    </row>
    <row r="3182" spans="1:4" x14ac:dyDescent="0.25">
      <c r="A3182" t="str">
        <f>T("   841989")</f>
        <v xml:space="preserve">   841989</v>
      </c>
      <c r="B3182" t="s">
        <v>401</v>
      </c>
      <c r="C3182">
        <v>20866757</v>
      </c>
      <c r="D3182">
        <v>1078</v>
      </c>
    </row>
    <row r="3183" spans="1:4" x14ac:dyDescent="0.25">
      <c r="A3183" t="str">
        <f>T("   842121")</f>
        <v xml:space="preserve">   842121</v>
      </c>
      <c r="B3183" t="str">
        <f>T("   Appareils pour la filtration ou l'épuration des eaux")</f>
        <v xml:space="preserve">   Appareils pour la filtration ou l'épuration des eaux</v>
      </c>
      <c r="C3183">
        <v>179058818</v>
      </c>
      <c r="D3183">
        <v>7990</v>
      </c>
    </row>
    <row r="3184" spans="1:4" x14ac:dyDescent="0.25">
      <c r="A3184" t="str">
        <f>T("   842123")</f>
        <v xml:space="preserve">   842123</v>
      </c>
      <c r="B3184" t="str">
        <f>T("   Appareils pour la filtration des huiles minérales et carburants pour les moteurs à allumage par étincelles ou par compression")</f>
        <v xml:space="preserve">   Appareils pour la filtration des huiles minérales et carburants pour les moteurs à allumage par étincelles ou par compression</v>
      </c>
      <c r="C3184">
        <v>252472</v>
      </c>
      <c r="D3184">
        <v>12</v>
      </c>
    </row>
    <row r="3185" spans="1:4" x14ac:dyDescent="0.25">
      <c r="A3185" t="str">
        <f>T("   842131")</f>
        <v xml:space="preserve">   842131</v>
      </c>
      <c r="B3185" t="str">
        <f>T("   Filtres d'entrée d'air pour moteurs à allumage par étincelles ou par compression")</f>
        <v xml:space="preserve">   Filtres d'entrée d'air pour moteurs à allumage par étincelles ou par compression</v>
      </c>
      <c r="C3185">
        <v>2723546</v>
      </c>
      <c r="D3185">
        <v>176</v>
      </c>
    </row>
    <row r="3186" spans="1:4" x14ac:dyDescent="0.25">
      <c r="A3186" t="str">
        <f>T("   842139")</f>
        <v xml:space="preserve">   842139</v>
      </c>
      <c r="B3186" t="str">
        <f>T("   Appareils pour la filtration ou l'épuration des gaz (autres que pour la séparation isotopique et sauf les filtres d'entrée d'air pour moteurs à allumage par étincelles ou par compression)")</f>
        <v xml:space="preserve">   Appareils pour la filtration ou l'épuration des gaz (autres que pour la séparation isotopique et sauf les filtres d'entrée d'air pour moteurs à allumage par étincelles ou par compression)</v>
      </c>
      <c r="C3186">
        <v>1273988</v>
      </c>
      <c r="D3186">
        <v>10.42</v>
      </c>
    </row>
    <row r="3187" spans="1:4" x14ac:dyDescent="0.25">
      <c r="A3187" t="str">
        <f>T("   842199")</f>
        <v xml:space="preserve">   842199</v>
      </c>
      <c r="B3187" t="str">
        <f>T("   Parties d'appareils pour la filtration ou l'épuration des liquides ou des gaz, n.d.a.")</f>
        <v xml:space="preserve">   Parties d'appareils pour la filtration ou l'épuration des liquides ou des gaz, n.d.a.</v>
      </c>
      <c r="C3187">
        <v>155463</v>
      </c>
      <c r="D3187">
        <v>4</v>
      </c>
    </row>
    <row r="3188" spans="1:4" x14ac:dyDescent="0.25">
      <c r="A3188" t="str">
        <f>T("   842230")</f>
        <v xml:space="preserve">   842230</v>
      </c>
      <c r="B3188" t="str">
        <f>T("   Machines et appareils à remplir, fermer, boucher ou étiqueter les bouteilles, boîtes, sacs ou autres contenants; machines et appareils à capsuler les bouteilles, pots, tubes et contenants analogues; appareils à gazéifier les boissons")</f>
        <v xml:space="preserve">   Machines et appareils à remplir, fermer, boucher ou étiqueter les bouteilles, boîtes, sacs ou autres contenants; machines et appareils à capsuler les bouteilles, pots, tubes et contenants analogues; appareils à gazéifier les boissons</v>
      </c>
      <c r="C3188">
        <v>359940682</v>
      </c>
      <c r="D3188">
        <v>81130</v>
      </c>
    </row>
    <row r="3189" spans="1:4" x14ac:dyDescent="0.25">
      <c r="A3189" t="str">
        <f>T("   842240")</f>
        <v xml:space="preserve">   842240</v>
      </c>
      <c r="B3189" t="s">
        <v>402</v>
      </c>
      <c r="C3189">
        <v>6789303</v>
      </c>
      <c r="D3189">
        <v>250</v>
      </c>
    </row>
    <row r="3190" spans="1:4" x14ac:dyDescent="0.25">
      <c r="A3190" t="str">
        <f>T("   842290")</f>
        <v xml:space="preserve">   842290</v>
      </c>
      <c r="B3190" t="str">
        <f>T("   Parties des machines à laver la vaisselle, des machines à empaqueter ou à emballer les marchandises et autres machines et appareils du n° 8422, n.d.a.")</f>
        <v xml:space="preserve">   Parties des machines à laver la vaisselle, des machines à empaqueter ou à emballer les marchandises et autres machines et appareils du n° 8422, n.d.a.</v>
      </c>
      <c r="C3190">
        <v>159453229</v>
      </c>
      <c r="D3190">
        <v>18693.7</v>
      </c>
    </row>
    <row r="3191" spans="1:4" x14ac:dyDescent="0.25">
      <c r="A3191" t="str">
        <f>T("   842420")</f>
        <v xml:space="preserve">   842420</v>
      </c>
      <c r="B3191" t="s">
        <v>404</v>
      </c>
      <c r="C3191">
        <v>2604</v>
      </c>
      <c r="D3191">
        <v>0.5</v>
      </c>
    </row>
    <row r="3192" spans="1:4" x14ac:dyDescent="0.25">
      <c r="A3192" t="str">
        <f>T("   842489")</f>
        <v xml:space="preserve">   842489</v>
      </c>
      <c r="B3192" t="str">
        <f>T("   Machines et appareils mécaniques, même à main, à projeter, disperser ou pulvériser des matières liquides ou en poudre, n.d.a.")</f>
        <v xml:space="preserve">   Machines et appareils mécaniques, même à main, à projeter, disperser ou pulvériser des matières liquides ou en poudre, n.d.a.</v>
      </c>
      <c r="C3192">
        <v>6216532</v>
      </c>
      <c r="D3192">
        <v>440</v>
      </c>
    </row>
    <row r="3193" spans="1:4" x14ac:dyDescent="0.25">
      <c r="A3193" t="str">
        <f>T("   842519")</f>
        <v xml:space="preserve">   842519</v>
      </c>
      <c r="B3193" t="str">
        <f>T("   Palans autres qu'à moteur électrique")</f>
        <v xml:space="preserve">   Palans autres qu'à moteur électrique</v>
      </c>
      <c r="C3193">
        <v>350166</v>
      </c>
      <c r="D3193">
        <v>1230</v>
      </c>
    </row>
    <row r="3194" spans="1:4" x14ac:dyDescent="0.25">
      <c r="A3194" t="str">
        <f>T("   842542")</f>
        <v xml:space="preserve">   842542</v>
      </c>
      <c r="B3194" t="str">
        <f>T("   Crics et vérins, hydrauliques (sauf élévateurs fixes des types utilisés dans les garages pour voitures)")</f>
        <v xml:space="preserve">   Crics et vérins, hydrauliques (sauf élévateurs fixes des types utilisés dans les garages pour voitures)</v>
      </c>
      <c r="C3194">
        <v>6186103</v>
      </c>
      <c r="D3194">
        <v>75</v>
      </c>
    </row>
    <row r="3195" spans="1:4" x14ac:dyDescent="0.25">
      <c r="A3195" t="str">
        <f>T("   842549")</f>
        <v xml:space="preserve">   842549</v>
      </c>
      <c r="B3195" t="str">
        <f>T("   Crics et vérins, non hydrauliques")</f>
        <v xml:space="preserve">   Crics et vérins, non hydrauliques</v>
      </c>
      <c r="C3195">
        <v>7128199</v>
      </c>
      <c r="D3195">
        <v>13</v>
      </c>
    </row>
    <row r="3196" spans="1:4" x14ac:dyDescent="0.25">
      <c r="A3196" t="str">
        <f>T("   842820")</f>
        <v xml:space="preserve">   842820</v>
      </c>
      <c r="B3196" t="str">
        <f>T("   Appareils élévateurs ou transporteurs, pneumatiques")</f>
        <v xml:space="preserve">   Appareils élévateurs ou transporteurs, pneumatiques</v>
      </c>
      <c r="C3196">
        <v>899781</v>
      </c>
      <c r="D3196">
        <v>3000</v>
      </c>
    </row>
    <row r="3197" spans="1:4" x14ac:dyDescent="0.25">
      <c r="A3197" t="str">
        <f>T("   842833")</f>
        <v xml:space="preserve">   842833</v>
      </c>
      <c r="B3197" t="str">
        <f>T("   Appareils élévateurs, transporteurs ou convoyeurs pour marchandises, à action continue, à bande ou à courroie (autres que conçus pour mines au fond et autres travaux souterrains)")</f>
        <v xml:space="preserve">   Appareils élévateurs, transporteurs ou convoyeurs pour marchandises, à action continue, à bande ou à courroie (autres que conçus pour mines au fond et autres travaux souterrains)</v>
      </c>
      <c r="C3197">
        <v>2130210</v>
      </c>
      <c r="D3197">
        <v>1</v>
      </c>
    </row>
    <row r="3198" spans="1:4" x14ac:dyDescent="0.25">
      <c r="A3198" t="str">
        <f>T("   842839")</f>
        <v xml:space="preserve">   842839</v>
      </c>
      <c r="B3198" t="str">
        <f>T("   Appareils élévateurs, transporteurs ou convoyeurs pour marchandises, à action continue (autres que conçus pour mines au fond ou pour autres travaux souterrains, autres qu'à benne, à bande ou à courroie et autres que pneumatiques)")</f>
        <v xml:space="preserve">   Appareils élévateurs, transporteurs ou convoyeurs pour marchandises, à action continue (autres que conçus pour mines au fond ou pour autres travaux souterrains, autres qu'à benne, à bande ou à courroie et autres que pneumatiques)</v>
      </c>
      <c r="C3198">
        <v>2943840</v>
      </c>
      <c r="D3198">
        <v>7000</v>
      </c>
    </row>
    <row r="3199" spans="1:4" x14ac:dyDescent="0.25">
      <c r="A3199" t="str">
        <f>T("   842940")</f>
        <v xml:space="preserve">   842940</v>
      </c>
      <c r="B3199" t="str">
        <f>T("   Rouleaux compresseurs et autres compacteuses, autopropulsés")</f>
        <v xml:space="preserve">   Rouleaux compresseurs et autres compacteuses, autopropulsés</v>
      </c>
      <c r="C3199">
        <v>1249761</v>
      </c>
      <c r="D3199">
        <v>3663</v>
      </c>
    </row>
    <row r="3200" spans="1:4" x14ac:dyDescent="0.25">
      <c r="A3200" t="str">
        <f>T("   843049")</f>
        <v xml:space="preserve">   843049</v>
      </c>
      <c r="B3200" t="str">
        <f>T("   Machines de sondage ou de forage de la terre, des minéraux ou des minerais non autopropulsées et non hydrauliques (à l'excl. des machines à creuser les tunnels et autres machines à creuser les galeries, et sauf outillage pour emploi à la main)")</f>
        <v xml:space="preserve">   Machines de sondage ou de forage de la terre, des minéraux ou des minerais non autopropulsées et non hydrauliques (à l'excl. des machines à creuser les tunnels et autres machines à creuser les galeries, et sauf outillage pour emploi à la main)</v>
      </c>
      <c r="C3200">
        <v>600000</v>
      </c>
      <c r="D3200">
        <v>1627</v>
      </c>
    </row>
    <row r="3201" spans="1:4" x14ac:dyDescent="0.25">
      <c r="A3201" t="str">
        <f>T("   843120")</f>
        <v xml:space="preserve">   843120</v>
      </c>
      <c r="B3201" t="str">
        <f>T("   Parties de chariots-gerbeurs et autres chariots de manutention munis d'un dispositif de levage, n.d.a.")</f>
        <v xml:space="preserve">   Parties de chariots-gerbeurs et autres chariots de manutention munis d'un dispositif de levage, n.d.a.</v>
      </c>
      <c r="C3201">
        <v>1416218</v>
      </c>
      <c r="D3201">
        <v>188</v>
      </c>
    </row>
    <row r="3202" spans="1:4" x14ac:dyDescent="0.25">
      <c r="A3202" t="str">
        <f>T("   843139")</f>
        <v xml:space="preserve">   843139</v>
      </c>
      <c r="B3202" t="str">
        <f>T("   Parties de machines et appareils du n° 8428, n.d.a.")</f>
        <v xml:space="preserve">   Parties de machines et appareils du n° 8428, n.d.a.</v>
      </c>
      <c r="C3202">
        <v>3028083</v>
      </c>
      <c r="D3202">
        <v>238</v>
      </c>
    </row>
    <row r="3203" spans="1:4" x14ac:dyDescent="0.25">
      <c r="A3203" t="str">
        <f>T("   843141")</f>
        <v xml:space="preserve">   843141</v>
      </c>
      <c r="B3203" t="str">
        <f>T("   Godets, bennes, bennes-preneuses, pelles, grappins et pinces pour machines et appareils du n° 8426, 8429 ou 8430")</f>
        <v xml:space="preserve">   Godets, bennes, bennes-preneuses, pelles, grappins et pinces pour machines et appareils du n° 8426, 8429 ou 8430</v>
      </c>
      <c r="C3203">
        <v>13931278</v>
      </c>
      <c r="D3203">
        <v>2216</v>
      </c>
    </row>
    <row r="3204" spans="1:4" x14ac:dyDescent="0.25">
      <c r="A3204" t="str">
        <f>T("   843149")</f>
        <v xml:space="preserve">   843149</v>
      </c>
      <c r="B3204" t="str">
        <f>T("   Parties de machines et appareils du n° 8426, 8429 ou 8430, n.d.a.")</f>
        <v xml:space="preserve">   Parties de machines et appareils du n° 8426, 8429 ou 8430, n.d.a.</v>
      </c>
      <c r="C3204">
        <v>13072806</v>
      </c>
      <c r="D3204">
        <v>4293.25</v>
      </c>
    </row>
    <row r="3205" spans="1:4" x14ac:dyDescent="0.25">
      <c r="A3205" t="str">
        <f>T("   843280")</f>
        <v xml:space="preserve">   843280</v>
      </c>
      <c r="B3205" t="s">
        <v>409</v>
      </c>
      <c r="C3205">
        <v>870000</v>
      </c>
      <c r="D3205">
        <v>1000</v>
      </c>
    </row>
    <row r="3206" spans="1:4" x14ac:dyDescent="0.25">
      <c r="A3206" t="str">
        <f>T("   843390")</f>
        <v xml:space="preserve">   843390</v>
      </c>
      <c r="B3206" t="str">
        <f>T("   Parties des machines, appareils et engins pour la récolte, le battage et le fauchage, et des machines pour le nettoyage ou le triage des produits agricoles, n.d.a.")</f>
        <v xml:space="preserve">   Parties des machines, appareils et engins pour la récolte, le battage et le fauchage, et des machines pour le nettoyage ou le triage des produits agricoles, n.d.a.</v>
      </c>
      <c r="C3206">
        <v>14152744</v>
      </c>
      <c r="D3206">
        <v>381</v>
      </c>
    </row>
    <row r="3207" spans="1:4" x14ac:dyDescent="0.25">
      <c r="A3207" t="str">
        <f>T("   843680")</f>
        <v xml:space="preserve">   843680</v>
      </c>
      <c r="B3207" t="str">
        <f>T("   Machines et appareils pour l'agriculture, la sylviculture, l'horticulture ou l'apiculture, n.d.a.")</f>
        <v xml:space="preserve">   Machines et appareils pour l'agriculture, la sylviculture, l'horticulture ou l'apiculture, n.d.a.</v>
      </c>
      <c r="C3207">
        <v>4000000</v>
      </c>
      <c r="D3207">
        <v>6000</v>
      </c>
    </row>
    <row r="3208" spans="1:4" x14ac:dyDescent="0.25">
      <c r="A3208" t="str">
        <f>T("   843890")</f>
        <v xml:space="preserve">   843890</v>
      </c>
      <c r="B3208" t="str">
        <f>T("   Parties des machines et appareils pour le traitement, la préparation ou la fabrication industriels d'aliments ou de boissons, n.d.a.")</f>
        <v xml:space="preserve">   Parties des machines et appareils pour le traitement, la préparation ou la fabrication industriels d'aliments ou de boissons, n.d.a.</v>
      </c>
      <c r="C3208">
        <v>77616271</v>
      </c>
      <c r="D3208">
        <v>2963</v>
      </c>
    </row>
    <row r="3209" spans="1:4" x14ac:dyDescent="0.25">
      <c r="A3209" t="str">
        <f>T("   844240")</f>
        <v xml:space="preserve">   844240</v>
      </c>
      <c r="B3209" t="str">
        <f>T("   Parties de machines, appareils ou matériel à fondre ou à composer les caractères ou pour la préparation ou la fabrication de clichés, planches, cylindres ou autres organes imprimants, n.d.a.")</f>
        <v xml:space="preserve">   Parties de machines, appareils ou matériel à fondre ou à composer les caractères ou pour la préparation ou la fabrication de clichés, planches, cylindres ou autres organes imprimants, n.d.a.</v>
      </c>
      <c r="C3209">
        <v>2717623</v>
      </c>
      <c r="D3209">
        <v>17</v>
      </c>
    </row>
    <row r="3210" spans="1:4" x14ac:dyDescent="0.25">
      <c r="A3210" t="str">
        <f>T("   844250")</f>
        <v xml:space="preserve">   844250</v>
      </c>
      <c r="B3210" t="str">
        <f>T("   PLANCHES, CYLINDRES ET AUTRES ORGANES IMPRIMANTS; PIERRES LITHOGRAPHIQUES, PLANCHES, PLAQUES ET CYLINDRES PRÉPARÉS POUR L'IMPRESSION -PLANÉS, GRENÉS, POLIS, P.EX.-")</f>
        <v xml:space="preserve">   PLANCHES, CYLINDRES ET AUTRES ORGANES IMPRIMANTS; PIERRES LITHOGRAPHIQUES, PLANCHES, PLAQUES ET CYLINDRES PRÉPARÉS POUR L'IMPRESSION -PLANÉS, GRENÉS, POLIS, P.EX.-</v>
      </c>
      <c r="C3210">
        <v>4280795</v>
      </c>
      <c r="D3210">
        <v>1000</v>
      </c>
    </row>
    <row r="3211" spans="1:4" x14ac:dyDescent="0.25">
      <c r="A3211" t="str">
        <f>T("   844319")</f>
        <v xml:space="preserve">   844319</v>
      </c>
      <c r="B3211" t="s">
        <v>417</v>
      </c>
      <c r="C3211">
        <v>32798</v>
      </c>
      <c r="D3211">
        <v>20</v>
      </c>
    </row>
    <row r="3212" spans="1:4" x14ac:dyDescent="0.25">
      <c r="A3212" t="str">
        <f>T("   844359")</f>
        <v xml:space="preserve">   844359</v>
      </c>
      <c r="B3212" t="s">
        <v>418</v>
      </c>
      <c r="C3212">
        <v>13846659</v>
      </c>
      <c r="D3212">
        <v>10222</v>
      </c>
    </row>
    <row r="3213" spans="1:4" x14ac:dyDescent="0.25">
      <c r="A3213" t="str">
        <f>T("   844390")</f>
        <v xml:space="preserve">   844390</v>
      </c>
      <c r="B3213" t="str">
        <f>T("   Parties de machines et appareils à imprimer et de leur machines et appareils auxiliaires, n.d.a.")</f>
        <v xml:space="preserve">   Parties de machines et appareils à imprimer et de leur machines et appareils auxiliaires, n.d.a.</v>
      </c>
      <c r="C3213">
        <v>2529382</v>
      </c>
      <c r="D3213">
        <v>2022</v>
      </c>
    </row>
    <row r="3214" spans="1:4" x14ac:dyDescent="0.25">
      <c r="A3214" t="str">
        <f>T("   845020")</f>
        <v xml:space="preserve">   845020</v>
      </c>
      <c r="B3214" t="str">
        <f>T("   Machines à laver le linge, capacité unitaire en poids de linge sec &gt; 10 kg")</f>
        <v xml:space="preserve">   Machines à laver le linge, capacité unitaire en poids de linge sec &gt; 10 kg</v>
      </c>
      <c r="C3214">
        <v>32798</v>
      </c>
      <c r="D3214">
        <v>60</v>
      </c>
    </row>
    <row r="3215" spans="1:4" x14ac:dyDescent="0.25">
      <c r="A3215" t="str">
        <f>T("   845180")</f>
        <v xml:space="preserve">   845180</v>
      </c>
      <c r="B3215" t="s">
        <v>420</v>
      </c>
      <c r="C3215">
        <v>226765</v>
      </c>
      <c r="D3215">
        <v>14</v>
      </c>
    </row>
    <row r="3216" spans="1:4" x14ac:dyDescent="0.25">
      <c r="A3216" t="str">
        <f>T("   845229")</f>
        <v xml:space="preserve">   845229</v>
      </c>
      <c r="B3216" t="str">
        <f>T("   Machines à coudre de type industriel (sauf unités automatiques)")</f>
        <v xml:space="preserve">   Machines à coudre de type industriel (sauf unités automatiques)</v>
      </c>
      <c r="C3216">
        <v>596924</v>
      </c>
      <c r="D3216">
        <v>500</v>
      </c>
    </row>
    <row r="3217" spans="1:4" x14ac:dyDescent="0.25">
      <c r="A3217" t="str">
        <f>T("   846150")</f>
        <v xml:space="preserve">   846150</v>
      </c>
      <c r="B3217" t="str">
        <f>T("   Machines à scier ou à tronçonner, pour le travail des métaux (autres que l'outillage à main)")</f>
        <v xml:space="preserve">   Machines à scier ou à tronçonner, pour le travail des métaux (autres que l'outillage à main)</v>
      </c>
      <c r="C3217">
        <v>700284</v>
      </c>
      <c r="D3217">
        <v>2026</v>
      </c>
    </row>
    <row r="3218" spans="1:4" x14ac:dyDescent="0.25">
      <c r="A3218" t="str">
        <f>T("   846210")</f>
        <v xml:space="preserve">   846210</v>
      </c>
      <c r="B3218" t="str">
        <f>T("   Machines, y.c. -les presses-, à forger ou à estamper, moutons, marteaux-pilons et martinets, pour le travail des métaux")</f>
        <v xml:space="preserve">   Machines, y.c. -les presses-, à forger ou à estamper, moutons, marteaux-pilons et martinets, pour le travail des métaux</v>
      </c>
      <c r="C3218">
        <v>5805902</v>
      </c>
      <c r="D3218">
        <v>396</v>
      </c>
    </row>
    <row r="3219" spans="1:4" x14ac:dyDescent="0.25">
      <c r="A3219" t="str">
        <f>T("   846299")</f>
        <v xml:space="preserve">   846299</v>
      </c>
      <c r="B3219" t="str">
        <f>T("   Presses autres qu'hydrauliques pour le travail des métaux (à l'excl. des presses à forger, à rouler, à cintrer, dresser ou planer)")</f>
        <v xml:space="preserve">   Presses autres qu'hydrauliques pour le travail des métaux (à l'excl. des presses à forger, à rouler, à cintrer, dresser ou planer)</v>
      </c>
      <c r="C3219">
        <v>4823047</v>
      </c>
      <c r="D3219">
        <v>10850</v>
      </c>
    </row>
    <row r="3220" spans="1:4" x14ac:dyDescent="0.25">
      <c r="A3220" t="str">
        <f>T("   846591")</f>
        <v xml:space="preserve">   846591</v>
      </c>
      <c r="B3220" t="str">
        <f>T("   Machines à scier, pour le travail du bois, des matières plastiques dures, etc. (autres que pour emploi à la main)")</f>
        <v xml:space="preserve">   Machines à scier, pour le travail du bois, des matières plastiques dures, etc. (autres que pour emploi à la main)</v>
      </c>
      <c r="C3220">
        <v>23020981</v>
      </c>
      <c r="D3220">
        <v>40900</v>
      </c>
    </row>
    <row r="3221" spans="1:4" x14ac:dyDescent="0.25">
      <c r="A3221" t="str">
        <f>T("   846694")</f>
        <v xml:space="preserve">   846694</v>
      </c>
      <c r="B3221" t="str">
        <f>T("   Parties et accessoires pour machines-outils pour le travail du métal avec enlèvement de matière, n.d.a.")</f>
        <v xml:space="preserve">   Parties et accessoires pour machines-outils pour le travail du métal avec enlèvement de matière, n.d.a.</v>
      </c>
      <c r="C3221">
        <v>92189100</v>
      </c>
      <c r="D3221">
        <v>1660</v>
      </c>
    </row>
    <row r="3222" spans="1:4" x14ac:dyDescent="0.25">
      <c r="A3222" t="str">
        <f>T("   846711")</f>
        <v xml:space="preserve">   846711</v>
      </c>
      <c r="B3222" t="str">
        <f>T("   Outils pneumatiques pour emploi à la main, rotatifs, -même à percussion-")</f>
        <v xml:space="preserve">   Outils pneumatiques pour emploi à la main, rotatifs, -même à percussion-</v>
      </c>
      <c r="C3222">
        <v>208201</v>
      </c>
      <c r="D3222">
        <v>40</v>
      </c>
    </row>
    <row r="3223" spans="1:4" x14ac:dyDescent="0.25">
      <c r="A3223" t="str">
        <f>T("   846721")</f>
        <v xml:space="preserve">   846721</v>
      </c>
      <c r="B3223" t="str">
        <f>T("   Perceuses à moteur électrique incorporé, pour emploi à la main, y.c. les perforatrices rotatives")</f>
        <v xml:space="preserve">   Perceuses à moteur électrique incorporé, pour emploi à la main, y.c. les perforatrices rotatives</v>
      </c>
      <c r="C3223">
        <v>9251800</v>
      </c>
      <c r="D3223">
        <v>59</v>
      </c>
    </row>
    <row r="3224" spans="1:4" x14ac:dyDescent="0.25">
      <c r="A3224" t="str">
        <f>T("   847110")</f>
        <v xml:space="preserve">   847110</v>
      </c>
      <c r="B3224" t="str">
        <f>T("   Machines automatiques de traitement de l'information, analogiques ou hybrides")</f>
        <v xml:space="preserve">   Machines automatiques de traitement de l'information, analogiques ou hybrides</v>
      </c>
      <c r="C3224">
        <v>393576</v>
      </c>
      <c r="D3224">
        <v>300</v>
      </c>
    </row>
    <row r="3225" spans="1:4" x14ac:dyDescent="0.25">
      <c r="A3225" t="str">
        <f>T("   847130")</f>
        <v xml:space="preserve">   847130</v>
      </c>
      <c r="B3225" t="str">
        <f>T("   Machines automatiques de traitement de l'information numériques, portatives, d'un poids &lt;= 10 kg, comportant au moins une unité centrale de traitement, un clavier et un écran (à l'excl. des unités périphériques)")</f>
        <v xml:space="preserve">   Machines automatiques de traitement de l'information numériques, portatives, d'un poids &lt;= 10 kg, comportant au moins une unité centrale de traitement, un clavier et un écran (à l'excl. des unités périphériques)</v>
      </c>
      <c r="C3225">
        <v>38554705</v>
      </c>
      <c r="D3225">
        <v>2096.6</v>
      </c>
    </row>
    <row r="3226" spans="1:4" x14ac:dyDescent="0.25">
      <c r="A3226" t="str">
        <f>T("   847149")</f>
        <v xml:space="preserve">   847149</v>
      </c>
      <c r="B3226" t="s">
        <v>434</v>
      </c>
      <c r="C3226">
        <v>1905512</v>
      </c>
      <c r="D3226">
        <v>2182</v>
      </c>
    </row>
    <row r="3227" spans="1:4" x14ac:dyDescent="0.25">
      <c r="A3227" t="str">
        <f>T("   847180")</f>
        <v xml:space="preserve">   847180</v>
      </c>
      <c r="B3227" t="str">
        <f>T("   Unités de machines automatiques de traitement de l'information, numériques (à l'excl. des unités de traitement, unités d'entrée ou de sortie et unités de mémoire)")</f>
        <v xml:space="preserve">   Unités de machines automatiques de traitement de l'information, numériques (à l'excl. des unités de traitement, unités d'entrée ou de sortie et unités de mémoire)</v>
      </c>
      <c r="C3227">
        <v>1744828</v>
      </c>
      <c r="D3227">
        <v>974</v>
      </c>
    </row>
    <row r="3228" spans="1:4" x14ac:dyDescent="0.25">
      <c r="A3228" t="str">
        <f>T("   847190")</f>
        <v xml:space="preserve">   847190</v>
      </c>
      <c r="B3228"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3228">
        <v>140167365</v>
      </c>
      <c r="D3228">
        <v>8120.75</v>
      </c>
    </row>
    <row r="3229" spans="1:4" x14ac:dyDescent="0.25">
      <c r="A3229" t="str">
        <f>T("   847330")</f>
        <v xml:space="preserve">   847330</v>
      </c>
      <c r="B3229" t="str">
        <f>T("   Parties et accessoires pour machines automatiques de traitement de l'information ou pour autres machines du n° 8471, n.d.a.")</f>
        <v xml:space="preserve">   Parties et accessoires pour machines automatiques de traitement de l'information ou pour autres machines du n° 8471, n.d.a.</v>
      </c>
      <c r="C3229">
        <v>2361456</v>
      </c>
      <c r="D3229">
        <v>5478</v>
      </c>
    </row>
    <row r="3230" spans="1:4" x14ac:dyDescent="0.25">
      <c r="A3230" t="str">
        <f>T("   847480")</f>
        <v xml:space="preserve">   847480</v>
      </c>
      <c r="B3230" t="s">
        <v>437</v>
      </c>
      <c r="C3230">
        <v>3642546</v>
      </c>
      <c r="D3230">
        <v>460</v>
      </c>
    </row>
    <row r="3231" spans="1:4" x14ac:dyDescent="0.25">
      <c r="A3231" t="str">
        <f>T("   847490")</f>
        <v xml:space="preserve">   847490</v>
      </c>
      <c r="B3231" t="str">
        <f>T("   Parties des machines et appareils pour le travail des matières minérales du n° 8474, n.d.a.")</f>
        <v xml:space="preserve">   Parties des machines et appareils pour le travail des matières minérales du n° 8474, n.d.a.</v>
      </c>
      <c r="C3231">
        <v>114084670</v>
      </c>
      <c r="D3231">
        <v>17064</v>
      </c>
    </row>
    <row r="3232" spans="1:4" x14ac:dyDescent="0.25">
      <c r="A3232" t="str">
        <f>T("   847780")</f>
        <v xml:space="preserve">   847780</v>
      </c>
      <c r="B3232" t="str">
        <f>T("   MACHINES ET APPAREILS POUR LE TRAVAIL DU CAOUTCHOUC OU DES MATIÈRES PLASTIQUES OU POUR LA FABRICATION DE PRODUITS EN CES MATIÈRES N.D.A. DANS LE CHAPITRE 84")</f>
        <v xml:space="preserve">   MACHINES ET APPAREILS POUR LE TRAVAIL DU CAOUTCHOUC OU DES MATIÈRES PLASTIQUES OU POUR LA FABRICATION DE PRODUITS EN CES MATIÈRES N.D.A. DANS LE CHAPITRE 84</v>
      </c>
      <c r="C3232">
        <v>20335</v>
      </c>
      <c r="D3232">
        <v>500</v>
      </c>
    </row>
    <row r="3233" spans="1:4" x14ac:dyDescent="0.25">
      <c r="A3233" t="str">
        <f>T("   847790")</f>
        <v xml:space="preserve">   847790</v>
      </c>
      <c r="B3233" t="str">
        <f>T("   Parties des machines et appareils pour le travail du caoutchouc ou des matières plastiques ou pour la fabrication de produits en ces matières, n.d.a.")</f>
        <v xml:space="preserve">   Parties des machines et appareils pour le travail du caoutchouc ou des matières plastiques ou pour la fabrication de produits en ces matières, n.d.a.</v>
      </c>
      <c r="C3233">
        <v>3009896</v>
      </c>
      <c r="D3233">
        <v>90</v>
      </c>
    </row>
    <row r="3234" spans="1:4" x14ac:dyDescent="0.25">
      <c r="A3234" t="str">
        <f>T("   847981")</f>
        <v xml:space="preserve">   847981</v>
      </c>
      <c r="B3234" t="s">
        <v>439</v>
      </c>
      <c r="C3234">
        <v>3233378</v>
      </c>
      <c r="D3234">
        <v>8460</v>
      </c>
    </row>
    <row r="3235" spans="1:4" x14ac:dyDescent="0.25">
      <c r="A3235" t="str">
        <f>T("   847982")</f>
        <v xml:space="preserve">   847982</v>
      </c>
      <c r="B3235" t="str">
        <f>T("   Machines et appareils à mélanger, malaxer, concasser, broyer, cribler, tamiser, homogénéiser, émulsionner ou brasser, n.d.a. (à l'excl. des robots industriels)")</f>
        <v xml:space="preserve">   Machines et appareils à mélanger, malaxer, concasser, broyer, cribler, tamiser, homogénéiser, émulsionner ou brasser, n.d.a. (à l'excl. des robots industriels)</v>
      </c>
      <c r="C3235">
        <v>12318784</v>
      </c>
      <c r="D3235">
        <v>636</v>
      </c>
    </row>
    <row r="3236" spans="1:4" x14ac:dyDescent="0.25">
      <c r="A3236" t="str">
        <f>T("   847990")</f>
        <v xml:space="preserve">   847990</v>
      </c>
      <c r="B3236" t="str">
        <f>T("   Parties de machines et appareils, y.c. les appareils mécaniques, n.d.a.")</f>
        <v xml:space="preserve">   Parties de machines et appareils, y.c. les appareils mécaniques, n.d.a.</v>
      </c>
      <c r="C3236">
        <v>8926950</v>
      </c>
      <c r="D3236">
        <v>1282</v>
      </c>
    </row>
    <row r="3237" spans="1:4" x14ac:dyDescent="0.25">
      <c r="A3237" t="str">
        <f>T("   848041")</f>
        <v xml:space="preserve">   848041</v>
      </c>
      <c r="B3237" t="str">
        <f>T("   Moules pour les métaux ou les carbures métalliques, pour le moulage par injection ou par compression (autres qu'en graphite ou autres formes de carbone, autres qu'en produits céramiques ou en verre)")</f>
        <v xml:space="preserve">   Moules pour les métaux ou les carbures métalliques, pour le moulage par injection ou par compression (autres qu'en graphite ou autres formes de carbone, autres qu'en produits céramiques ou en verre)</v>
      </c>
      <c r="C3237">
        <v>250000</v>
      </c>
      <c r="D3237">
        <v>400</v>
      </c>
    </row>
    <row r="3238" spans="1:4" x14ac:dyDescent="0.25">
      <c r="A3238" t="str">
        <f>T("   848120")</f>
        <v xml:space="preserve">   848120</v>
      </c>
      <c r="B3238" t="str">
        <f>T("   Valves pour transmissions oléohydrauliques ou pneumatiques")</f>
        <v xml:space="preserve">   Valves pour transmissions oléohydrauliques ou pneumatiques</v>
      </c>
      <c r="C3238">
        <v>966850</v>
      </c>
      <c r="D3238">
        <v>7.5</v>
      </c>
    </row>
    <row r="3239" spans="1:4" x14ac:dyDescent="0.25">
      <c r="A3239" t="str">
        <f>T("   848140")</f>
        <v xml:space="preserve">   848140</v>
      </c>
      <c r="B3239" t="str">
        <f>T("   Soupapes de trop-plein ou de sûreté")</f>
        <v xml:space="preserve">   Soupapes de trop-plein ou de sûreté</v>
      </c>
      <c r="C3239">
        <v>4918459</v>
      </c>
      <c r="D3239">
        <v>5</v>
      </c>
    </row>
    <row r="3240" spans="1:4" x14ac:dyDescent="0.25">
      <c r="A3240" t="str">
        <f>T("   848180")</f>
        <v xml:space="preserve">   848180</v>
      </c>
      <c r="B3240" t="str">
        <f>T("   Articles de robinetterie et organes simil. pour tuyauteries, etc. (à l'excl. des détendeurs, valves pour transmissions oléohydrauliques ou pneumatiques, clapets et soupapes de retenue et sauf soupapes de trop-plein ou de sûreté)")</f>
        <v xml:space="preserve">   Articles de robinetterie et organes simil. pour tuyauteries, etc. (à l'excl. des détendeurs, valves pour transmissions oléohydrauliques ou pneumatiques, clapets et soupapes de retenue et sauf soupapes de trop-plein ou de sûreté)</v>
      </c>
      <c r="C3240">
        <v>107278842</v>
      </c>
      <c r="D3240">
        <v>7382.68</v>
      </c>
    </row>
    <row r="3241" spans="1:4" x14ac:dyDescent="0.25">
      <c r="A3241" t="str">
        <f>T("   848190")</f>
        <v xml:space="preserve">   848190</v>
      </c>
      <c r="B3241" t="str">
        <f>T("   Parties d'articles de robinetterie et organes simil. pour tuyauterie, etc., n.d.a.")</f>
        <v xml:space="preserve">   Parties d'articles de robinetterie et organes simil. pour tuyauterie, etc., n.d.a.</v>
      </c>
      <c r="C3241">
        <v>2218922</v>
      </c>
      <c r="D3241">
        <v>22</v>
      </c>
    </row>
    <row r="3242" spans="1:4" x14ac:dyDescent="0.25">
      <c r="A3242" t="str">
        <f>T("   848210")</f>
        <v xml:space="preserve">   848210</v>
      </c>
      <c r="B3242" t="str">
        <f>T("   Roulements à billes")</f>
        <v xml:space="preserve">   Roulements à billes</v>
      </c>
      <c r="C3242">
        <v>116761</v>
      </c>
      <c r="D3242">
        <v>3</v>
      </c>
    </row>
    <row r="3243" spans="1:4" x14ac:dyDescent="0.25">
      <c r="A3243" t="str">
        <f>T("   848280")</f>
        <v xml:space="preserve">   848280</v>
      </c>
      <c r="B3243" t="s">
        <v>442</v>
      </c>
      <c r="C3243">
        <v>9780292</v>
      </c>
      <c r="D3243">
        <v>37.42</v>
      </c>
    </row>
    <row r="3244" spans="1:4" x14ac:dyDescent="0.25">
      <c r="A3244" t="str">
        <f>T("   848310")</f>
        <v xml:space="preserve">   848310</v>
      </c>
      <c r="B3244" t="str">
        <f>T("   Arbres de transmission pour machines, y.c. -les arbres à cames et les vilebrequins- et manivelles")</f>
        <v xml:space="preserve">   Arbres de transmission pour machines, y.c. -les arbres à cames et les vilebrequins- et manivelles</v>
      </c>
      <c r="C3244">
        <v>40371103</v>
      </c>
      <c r="D3244">
        <v>4294</v>
      </c>
    </row>
    <row r="3245" spans="1:4" x14ac:dyDescent="0.25">
      <c r="A3245" t="str">
        <f>T("   848320")</f>
        <v xml:space="preserve">   848320</v>
      </c>
      <c r="B3245" t="str">
        <f>T("   Paliers à roulements incorporés, pour machines")</f>
        <v xml:space="preserve">   Paliers à roulements incorporés, pour machines</v>
      </c>
      <c r="C3245">
        <v>1180728</v>
      </c>
      <c r="D3245">
        <v>89</v>
      </c>
    </row>
    <row r="3246" spans="1:4" x14ac:dyDescent="0.25">
      <c r="A3246" t="str">
        <f>T("   848330")</f>
        <v xml:space="preserve">   848330</v>
      </c>
      <c r="B3246" t="str">
        <f>T("   Paliers pour machines, sans roulements incorporés; coussinets et coquilles de coussinets pour machines")</f>
        <v xml:space="preserve">   Paliers pour machines, sans roulements incorporés; coussinets et coquilles de coussinets pour machines</v>
      </c>
      <c r="C3246">
        <v>5685432</v>
      </c>
      <c r="D3246">
        <v>216.42</v>
      </c>
    </row>
    <row r="3247" spans="1:4" x14ac:dyDescent="0.25">
      <c r="A3247" t="str">
        <f>T("   848340")</f>
        <v xml:space="preserve">   848340</v>
      </c>
      <c r="B3247" t="s">
        <v>443</v>
      </c>
      <c r="C3247">
        <v>8577237</v>
      </c>
      <c r="D3247">
        <v>1777</v>
      </c>
    </row>
    <row r="3248" spans="1:4" x14ac:dyDescent="0.25">
      <c r="A3248" t="str">
        <f>T("   848350")</f>
        <v xml:space="preserve">   848350</v>
      </c>
      <c r="B3248" t="str">
        <f>T("   Volants et poulies, y.c. les poulies à moufles")</f>
        <v xml:space="preserve">   Volants et poulies, y.c. les poulies à moufles</v>
      </c>
      <c r="C3248">
        <v>8225740</v>
      </c>
      <c r="D3248">
        <v>777</v>
      </c>
    </row>
    <row r="3249" spans="1:4" x14ac:dyDescent="0.25">
      <c r="A3249" t="str">
        <f>T("   848360")</f>
        <v xml:space="preserve">   848360</v>
      </c>
      <c r="B3249" t="str">
        <f>T("   Embrayages et organes d'accouplement, y.c. les joints d'articulation, pour machines")</f>
        <v xml:space="preserve">   Embrayages et organes d'accouplement, y.c. les joints d'articulation, pour machines</v>
      </c>
      <c r="C3249">
        <v>673761</v>
      </c>
      <c r="D3249">
        <v>13</v>
      </c>
    </row>
    <row r="3250" spans="1:4" x14ac:dyDescent="0.25">
      <c r="A3250" t="str">
        <f>T("   848390")</f>
        <v xml:space="preserve">   848390</v>
      </c>
      <c r="B3250" t="str">
        <f>T("   Roues dentées et autres organes élémentaires de transmission présentés séparément; parties d'organes mécaniques, d'organes de transmission, d'engrenages, de variateurs de vitesses, d'organes d'accouplement et d'autres organes du n° 8483, n.d.a.")</f>
        <v xml:space="preserve">   Roues dentées et autres organes élémentaires de transmission présentés séparément; parties d'organes mécaniques, d'organes de transmission, d'engrenages, de variateurs de vitesses, d'organes d'accouplement et d'autres organes du n° 8483, n.d.a.</v>
      </c>
      <c r="C3250">
        <v>3011513</v>
      </c>
      <c r="D3250">
        <v>269</v>
      </c>
    </row>
    <row r="3251" spans="1:4" x14ac:dyDescent="0.25">
      <c r="A3251" t="str">
        <f>T("   848410")</f>
        <v xml:space="preserve">   848410</v>
      </c>
      <c r="B3251" t="str">
        <f>T("   Joints métalloplastiques")</f>
        <v xml:space="preserve">   Joints métalloplastiques</v>
      </c>
      <c r="C3251">
        <v>420324</v>
      </c>
      <c r="D3251">
        <v>2</v>
      </c>
    </row>
    <row r="3252" spans="1:4" x14ac:dyDescent="0.25">
      <c r="A3252" t="str">
        <f>T("   848420")</f>
        <v xml:space="preserve">   848420</v>
      </c>
      <c r="B3252" t="str">
        <f>T("   Joints d'étanchéité mécaniques")</f>
        <v xml:space="preserve">   Joints d'étanchéité mécaniques</v>
      </c>
      <c r="C3252">
        <v>11907118</v>
      </c>
      <c r="D3252">
        <v>223</v>
      </c>
    </row>
    <row r="3253" spans="1:4" x14ac:dyDescent="0.25">
      <c r="A3253" t="str">
        <f>T("   848490")</f>
        <v xml:space="preserve">   848490</v>
      </c>
      <c r="B3253" t="str">
        <f>T("   Jeux ou assortiments de joints de composition différente présentés en pochettes, enveloppes ou emballages analogues")</f>
        <v xml:space="preserve">   Jeux ou assortiments de joints de composition différente présentés en pochettes, enveloppes ou emballages analogues</v>
      </c>
      <c r="C3253">
        <v>26441699</v>
      </c>
      <c r="D3253">
        <v>85</v>
      </c>
    </row>
    <row r="3254" spans="1:4" x14ac:dyDescent="0.25">
      <c r="A3254" t="str">
        <f>T("   850151")</f>
        <v xml:space="preserve">   850151</v>
      </c>
      <c r="B3254" t="str">
        <f>T("   Moteurs à courant alternatif, polyphasés, puissance &gt; 37,5 W mais &lt;= 750 W")</f>
        <v xml:space="preserve">   Moteurs à courant alternatif, polyphasés, puissance &gt; 37,5 W mais &lt;= 750 W</v>
      </c>
      <c r="C3254">
        <v>1430061</v>
      </c>
      <c r="D3254">
        <v>60</v>
      </c>
    </row>
    <row r="3255" spans="1:4" x14ac:dyDescent="0.25">
      <c r="A3255" t="str">
        <f>T("   850163")</f>
        <v xml:space="preserve">   850163</v>
      </c>
      <c r="B3255" t="str">
        <f>T("   Alternateurs, puissance &gt; 375 kVA mais &lt;= 750 kVA")</f>
        <v xml:space="preserve">   Alternateurs, puissance &gt; 375 kVA mais &lt;= 750 kVA</v>
      </c>
      <c r="C3255">
        <v>226050</v>
      </c>
      <c r="D3255">
        <v>2</v>
      </c>
    </row>
    <row r="3256" spans="1:4" x14ac:dyDescent="0.25">
      <c r="A3256" t="str">
        <f>T("   850211")</f>
        <v xml:space="preserve">   850211</v>
      </c>
      <c r="B3256" t="s">
        <v>444</v>
      </c>
      <c r="C3256">
        <v>4000339</v>
      </c>
      <c r="D3256">
        <v>971</v>
      </c>
    </row>
    <row r="3257" spans="1:4" x14ac:dyDescent="0.25">
      <c r="A3257" t="str">
        <f>T("   850212")</f>
        <v xml:space="preserve">   850212</v>
      </c>
      <c r="B3257" t="str">
        <f>T("   GROUPES ÉLECTROGÈNES À MOTEUR À PISTON À ALLUMAGE PAR COMPRESSION 'MOTEURS DIESEL OU SEMI-DIESEL', PUISSANCE &gt; 75 KVA MAIS &lt;= 375 KVA")</f>
        <v xml:space="preserve">   GROUPES ÉLECTROGÈNES À MOTEUR À PISTON À ALLUMAGE PAR COMPRESSION 'MOTEURS DIESEL OU SEMI-DIESEL', PUISSANCE &gt; 75 KVA MAIS &lt;= 375 KVA</v>
      </c>
      <c r="C3257">
        <v>8392482</v>
      </c>
      <c r="D3257">
        <v>1300</v>
      </c>
    </row>
    <row r="3258" spans="1:4" x14ac:dyDescent="0.25">
      <c r="A3258" t="str">
        <f>T("   850239")</f>
        <v xml:space="preserve">   850239</v>
      </c>
      <c r="B3258" t="str">
        <f>T("   Groupes électrogènes (autres qu'à énergie éolienne et à moteurs à piston)")</f>
        <v xml:space="preserve">   Groupes électrogènes (autres qu'à énergie éolienne et à moteurs à piston)</v>
      </c>
      <c r="C3258">
        <v>6692426</v>
      </c>
      <c r="D3258">
        <v>10735</v>
      </c>
    </row>
    <row r="3259" spans="1:4" x14ac:dyDescent="0.25">
      <c r="A3259" t="str">
        <f>T("   850300")</f>
        <v xml:space="preserve">   850300</v>
      </c>
      <c r="B3259" t="str">
        <f>T("   Parties reconnaissables comme étant exclusivement ou principalement destinées aux moteurs et machines génératrices électriques, groupes électrogènes ou convertisseurs rotatifs électriques n.d.a.")</f>
        <v xml:space="preserve">   Parties reconnaissables comme étant exclusivement ou principalement destinées aux moteurs et machines génératrices électriques, groupes électrogènes ou convertisseurs rotatifs électriques n.d.a.</v>
      </c>
      <c r="C3259">
        <v>3759112</v>
      </c>
      <c r="D3259">
        <v>83</v>
      </c>
    </row>
    <row r="3260" spans="1:4" x14ac:dyDescent="0.25">
      <c r="A3260" t="str">
        <f>T("   850431")</f>
        <v xml:space="preserve">   850431</v>
      </c>
      <c r="B3260" t="str">
        <f>T("   Transformateurs à sec, puissance &lt;= 1 kVA")</f>
        <v xml:space="preserve">   Transformateurs à sec, puissance &lt;= 1 kVA</v>
      </c>
      <c r="C3260">
        <v>1639900</v>
      </c>
      <c r="D3260">
        <v>479</v>
      </c>
    </row>
    <row r="3261" spans="1:4" x14ac:dyDescent="0.25">
      <c r="A3261" t="str">
        <f>T("   850440")</f>
        <v xml:space="preserve">   850440</v>
      </c>
      <c r="B3261" t="str">
        <f>T("   CONVERTISSEURS STATIQUES")</f>
        <v xml:space="preserve">   CONVERTISSEURS STATIQUES</v>
      </c>
      <c r="C3261">
        <v>3799119</v>
      </c>
      <c r="D3261">
        <v>164</v>
      </c>
    </row>
    <row r="3262" spans="1:4" x14ac:dyDescent="0.25">
      <c r="A3262" t="str">
        <f>T("   850780")</f>
        <v xml:space="preserve">   850780</v>
      </c>
      <c r="B3262" t="str">
        <f>T("   Accumulateurs électriques (sauf hors d'usage et autres qu'au plomb, au nickel-cadmium ou au nickel-fer)")</f>
        <v xml:space="preserve">   Accumulateurs électriques (sauf hors d'usage et autres qu'au plomb, au nickel-cadmium ou au nickel-fer)</v>
      </c>
      <c r="C3262">
        <v>6692085</v>
      </c>
      <c r="D3262">
        <v>601</v>
      </c>
    </row>
    <row r="3263" spans="1:4" x14ac:dyDescent="0.25">
      <c r="A3263" t="str">
        <f>T("   850790")</f>
        <v xml:space="preserve">   850790</v>
      </c>
      <c r="B3263" t="str">
        <f>T("   Plaques, séparateurs et autres parties d'accumulateurs électriques n.d.a.")</f>
        <v xml:space="preserve">   Plaques, séparateurs et autres parties d'accumulateurs électriques n.d.a.</v>
      </c>
      <c r="C3263">
        <v>125308</v>
      </c>
      <c r="D3263">
        <v>1</v>
      </c>
    </row>
    <row r="3264" spans="1:4" x14ac:dyDescent="0.25">
      <c r="A3264" t="str">
        <f>T("   850940")</f>
        <v xml:space="preserve">   850940</v>
      </c>
      <c r="B3264" t="str">
        <f>T("   Broyeurs et mélangeurs pour aliments; presse-fruits et presse-légumes à moteur électrique incorporé, à usage domestique")</f>
        <v xml:space="preserve">   Broyeurs et mélangeurs pour aliments; presse-fruits et presse-légumes à moteur électrique incorporé, à usage domestique</v>
      </c>
      <c r="C3264">
        <v>53133</v>
      </c>
      <c r="D3264">
        <v>50</v>
      </c>
    </row>
    <row r="3265" spans="1:4" x14ac:dyDescent="0.25">
      <c r="A3265" t="str">
        <f>T("   850980")</f>
        <v xml:space="preserve">   850980</v>
      </c>
      <c r="B3265" t="s">
        <v>447</v>
      </c>
      <c r="C3265">
        <v>955713</v>
      </c>
      <c r="D3265">
        <v>1907</v>
      </c>
    </row>
    <row r="3266" spans="1:4" x14ac:dyDescent="0.25">
      <c r="A3266" t="str">
        <f>T("   851110")</f>
        <v xml:space="preserve">   851110</v>
      </c>
      <c r="B3266" t="str">
        <f>T("   Bougies d'allumage pour moteurs à allumage par étincelles ou par compression")</f>
        <v xml:space="preserve">   Bougies d'allumage pour moteurs à allumage par étincelles ou par compression</v>
      </c>
      <c r="C3266">
        <v>3380000</v>
      </c>
      <c r="D3266">
        <v>4470</v>
      </c>
    </row>
    <row r="3267" spans="1:4" x14ac:dyDescent="0.25">
      <c r="A3267" t="str">
        <f>T("   851290")</f>
        <v xml:space="preserve">   851290</v>
      </c>
      <c r="B3267" t="str">
        <f>T("   PARTIES DES APPAREILS ÉLECTRIQUES D'ÉCLAIRAGE, DE SIGNALISATION, ESSUIE-GLACES, DÉGIVREURS ET DISPOSITIFS ANTIBUÉE, DES TYPES UTILISÉS POUR CYCLES ET POUR AUTOMOBILES, N.D.A.")</f>
        <v xml:space="preserve">   PARTIES DES APPAREILS ÉLECTRIQUES D'ÉCLAIRAGE, DE SIGNALISATION, ESSUIE-GLACES, DÉGIVREURS ET DISPOSITIFS ANTIBUÉE, DES TYPES UTILISÉS POUR CYCLES ET POUR AUTOMOBILES, N.D.A.</v>
      </c>
      <c r="C3267">
        <v>2479433</v>
      </c>
      <c r="D3267">
        <v>153.16</v>
      </c>
    </row>
    <row r="3268" spans="1:4" x14ac:dyDescent="0.25">
      <c r="A3268" t="str">
        <f>T("   851310")</f>
        <v xml:space="preserve">   851310</v>
      </c>
      <c r="B3268" t="str">
        <f>T("   Lampes électriques portatives, destinées à fonctionner au moyen de leur propre source d'énergie")</f>
        <v xml:space="preserve">   Lampes électriques portatives, destinées à fonctionner au moyen de leur propre source d'énergie</v>
      </c>
      <c r="C3268">
        <v>1093421</v>
      </c>
      <c r="D3268">
        <v>775</v>
      </c>
    </row>
    <row r="3269" spans="1:4" x14ac:dyDescent="0.25">
      <c r="A3269" t="str">
        <f>T("   851539")</f>
        <v xml:space="preserve">   851539</v>
      </c>
      <c r="B3269" t="str">
        <f>T("   MACHINES ET APPAREILS POUR LE SOUDAGE DES MÉTAUX À L'ARC OU AU JET DE PLASMA, NON-AUTOMATIQUES")</f>
        <v xml:space="preserve">   MACHINES ET APPAREILS POUR LE SOUDAGE DES MÉTAUX À L'ARC OU AU JET DE PLASMA, NON-AUTOMATIQUES</v>
      </c>
      <c r="C3269">
        <v>235380</v>
      </c>
      <c r="D3269">
        <v>1798</v>
      </c>
    </row>
    <row r="3270" spans="1:4" x14ac:dyDescent="0.25">
      <c r="A3270" t="str">
        <f>T("   851640")</f>
        <v xml:space="preserve">   851640</v>
      </c>
      <c r="B3270" t="str">
        <f>T("   Fers à repasser électriques")</f>
        <v xml:space="preserve">   Fers à repasser électriques</v>
      </c>
      <c r="C3270">
        <v>459172</v>
      </c>
      <c r="D3270">
        <v>200</v>
      </c>
    </row>
    <row r="3271" spans="1:4" x14ac:dyDescent="0.25">
      <c r="A3271" t="str">
        <f>T("   851719")</f>
        <v xml:space="preserve">   851719</v>
      </c>
      <c r="B3271" t="str">
        <f>T("   Postes téléphoniques d'usagers pour la téléphonie par fil; visiophones (sauf postes téléphoniques d'usagers par fil à combinés sans fil et parlophones)")</f>
        <v xml:space="preserve">   Postes téléphoniques d'usagers pour la téléphonie par fil; visiophones (sauf postes téléphoniques d'usagers par fil à combinés sans fil et parlophones)</v>
      </c>
      <c r="C3271">
        <v>721044</v>
      </c>
      <c r="D3271">
        <v>45.75</v>
      </c>
    </row>
    <row r="3272" spans="1:4" x14ac:dyDescent="0.25">
      <c r="A3272" t="str">
        <f>T("   851780")</f>
        <v xml:space="preserve">   851780</v>
      </c>
      <c r="B3272" t="s">
        <v>453</v>
      </c>
      <c r="C3272">
        <v>60348</v>
      </c>
      <c r="D3272">
        <v>3</v>
      </c>
    </row>
    <row r="3273" spans="1:4" x14ac:dyDescent="0.25">
      <c r="A3273" t="str">
        <f>T("   852190")</f>
        <v xml:space="preserve">   852190</v>
      </c>
      <c r="B3273" t="s">
        <v>458</v>
      </c>
      <c r="C3273">
        <v>44999</v>
      </c>
      <c r="D3273">
        <v>5</v>
      </c>
    </row>
    <row r="3274" spans="1:4" x14ac:dyDescent="0.25">
      <c r="A3274" t="str">
        <f>T("   852290")</f>
        <v xml:space="preserve">   852290</v>
      </c>
      <c r="B3274" t="s">
        <v>459</v>
      </c>
      <c r="C3274">
        <v>1217462</v>
      </c>
      <c r="D3274">
        <v>2</v>
      </c>
    </row>
    <row r="3275" spans="1:4" x14ac:dyDescent="0.25">
      <c r="A3275" t="str">
        <f>T("   852520")</f>
        <v xml:space="preserve">   852520</v>
      </c>
      <c r="B3275" t="str">
        <f>T("   Appareils d'émission incorporant un appareil de réception, pour la radiotéléphonie, la radiotélégraphie, la radiodiffusion ou la télévision")</f>
        <v xml:space="preserve">   Appareils d'émission incorporant un appareil de réception, pour la radiotéléphonie, la radiotélégraphie, la radiodiffusion ou la télévision</v>
      </c>
      <c r="C3275">
        <v>498530</v>
      </c>
      <c r="D3275">
        <v>5</v>
      </c>
    </row>
    <row r="3276" spans="1:4" x14ac:dyDescent="0.25">
      <c r="A3276" t="str">
        <f>T("   852729")</f>
        <v xml:space="preserve">   852729</v>
      </c>
      <c r="B3276" t="s">
        <v>462</v>
      </c>
      <c r="C3276">
        <v>20335</v>
      </c>
      <c r="D3276">
        <v>4</v>
      </c>
    </row>
    <row r="3277" spans="1:4" x14ac:dyDescent="0.25">
      <c r="A3277" t="str">
        <f>T("   852790")</f>
        <v xml:space="preserve">   852790</v>
      </c>
      <c r="B3277" t="str">
        <f>T("   Récepteurs pour la radiotéléphonie, la radiotélégraphie ou la radiodiffusion commerciale")</f>
        <v xml:space="preserve">   Récepteurs pour la radiotéléphonie, la radiotélégraphie ou la radiodiffusion commerciale</v>
      </c>
      <c r="C3277">
        <v>49853</v>
      </c>
      <c r="D3277">
        <v>5</v>
      </c>
    </row>
    <row r="3278" spans="1:4" x14ac:dyDescent="0.25">
      <c r="A3278" t="str">
        <f>T("   852812")</f>
        <v xml:space="preserve">   852812</v>
      </c>
      <c r="B3278"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3278">
        <v>2919948</v>
      </c>
      <c r="D3278">
        <v>2300</v>
      </c>
    </row>
    <row r="3279" spans="1:4" x14ac:dyDescent="0.25">
      <c r="A3279" t="str">
        <f>T("   852813")</f>
        <v xml:space="preserve">   852813</v>
      </c>
      <c r="B3279" t="str">
        <f>T("   Appareils récepteurs pour la télévision en noir et blanc ou en autres monochromes, même incorporant un appareil récepteur de radiodiffusion ou un appareil d'enregistrement ou de reproduction du son ou des images")</f>
        <v xml:space="preserve">   Appareils récepteurs pour la télévision en noir et blanc ou en autres monochromes, même incorporant un appareil récepteur de radiodiffusion ou un appareil d'enregistrement ou de reproduction du son ou des images</v>
      </c>
      <c r="C3279">
        <v>1132856</v>
      </c>
      <c r="D3279">
        <v>1699</v>
      </c>
    </row>
    <row r="3280" spans="1:4" x14ac:dyDescent="0.25">
      <c r="A3280" t="str">
        <f>T("   852821")</f>
        <v xml:space="preserve">   852821</v>
      </c>
      <c r="B3280" t="str">
        <f>T("   Moniteurs vidéo en couleurs")</f>
        <v xml:space="preserve">   Moniteurs vidéo en couleurs</v>
      </c>
      <c r="C3280">
        <v>30175</v>
      </c>
      <c r="D3280">
        <v>10</v>
      </c>
    </row>
    <row r="3281" spans="1:4" x14ac:dyDescent="0.25">
      <c r="A3281" t="str">
        <f>T("   852910")</f>
        <v xml:space="preserve">   852910</v>
      </c>
      <c r="B3281" t="str">
        <f>T("   Antennes et réflecteurs d'antennes de tous types; parties reconnaissables comme étant utilisées conjointement avec ces articles, n.d.a.")</f>
        <v xml:space="preserve">   Antennes et réflecteurs d'antennes de tous types; parties reconnaissables comme étant utilisées conjointement avec ces articles, n.d.a.</v>
      </c>
      <c r="C3281">
        <v>62370</v>
      </c>
      <c r="D3281">
        <v>1</v>
      </c>
    </row>
    <row r="3282" spans="1:4" x14ac:dyDescent="0.25">
      <c r="A3282" t="str">
        <f>T("   853510")</f>
        <v xml:space="preserve">   853510</v>
      </c>
      <c r="B3282" t="str">
        <f>T("   Fusibles et coupe-circuit à fusibles, pour une tension &gt; 1.000 V")</f>
        <v xml:space="preserve">   Fusibles et coupe-circuit à fusibles, pour une tension &gt; 1.000 V</v>
      </c>
      <c r="C3282">
        <v>377177</v>
      </c>
      <c r="D3282">
        <v>108</v>
      </c>
    </row>
    <row r="3283" spans="1:4" x14ac:dyDescent="0.25">
      <c r="A3283" t="str">
        <f>T("   853610")</f>
        <v xml:space="preserve">   853610</v>
      </c>
      <c r="B3283" t="str">
        <f>T("   Fusibles et coupe-circuit à fusibles, pour une tension &lt;= 1.000 V")</f>
        <v xml:space="preserve">   Fusibles et coupe-circuit à fusibles, pour une tension &lt;= 1.000 V</v>
      </c>
      <c r="C3283">
        <v>15297587</v>
      </c>
      <c r="D3283">
        <v>750</v>
      </c>
    </row>
    <row r="3284" spans="1:4" x14ac:dyDescent="0.25">
      <c r="A3284" t="str">
        <f>T("   853630")</f>
        <v xml:space="preserve">   853630</v>
      </c>
      <c r="B3284" t="str">
        <f>T("   APPAREILS POUR LA PROTECTION DES CIRCUITS ÉLECTRIQUES (SAUF FUSIBLES, COUPE-CIRCUIT À FUSIBLES ET DISJONCTEURS), POUR UNE TENSION &lt;= 1.000 V")</f>
        <v xml:space="preserve">   APPAREILS POUR LA PROTECTION DES CIRCUITS ÉLECTRIQUES (SAUF FUSIBLES, COUPE-CIRCUIT À FUSIBLES ET DISJONCTEURS), POUR UNE TENSION &lt;= 1.000 V</v>
      </c>
      <c r="C3284">
        <v>10767583</v>
      </c>
      <c r="D3284">
        <v>428</v>
      </c>
    </row>
    <row r="3285" spans="1:4" x14ac:dyDescent="0.25">
      <c r="A3285" t="str">
        <f>T("   853650")</f>
        <v xml:space="preserve">   853650</v>
      </c>
      <c r="B3285" t="str">
        <f>T("   Interrupteurs, sectionneurs et commutateurs, pour une tension &lt;= 1.000 V (autres que relais et disjoncteurs)")</f>
        <v xml:space="preserve">   Interrupteurs, sectionneurs et commutateurs, pour une tension &lt;= 1.000 V (autres que relais et disjoncteurs)</v>
      </c>
      <c r="C3285">
        <v>11431595</v>
      </c>
      <c r="D3285">
        <v>1196.04</v>
      </c>
    </row>
    <row r="3286" spans="1:4" x14ac:dyDescent="0.25">
      <c r="A3286" t="str">
        <f>T("   853669")</f>
        <v xml:space="preserve">   853669</v>
      </c>
      <c r="B3286" t="str">
        <f>T("   Fiches et prises de courant, pour une tension &lt;= 1.000 V (sauf douilles pour lampes)")</f>
        <v xml:space="preserve">   Fiches et prises de courant, pour une tension &lt;= 1.000 V (sauf douilles pour lampes)</v>
      </c>
      <c r="C3286">
        <v>1953</v>
      </c>
      <c r="D3286">
        <v>1</v>
      </c>
    </row>
    <row r="3287" spans="1:4" x14ac:dyDescent="0.25">
      <c r="A3287" t="str">
        <f>T("   853690")</f>
        <v xml:space="preserve">   853690</v>
      </c>
      <c r="B3287" t="s">
        <v>469</v>
      </c>
      <c r="C3287">
        <v>3322732</v>
      </c>
      <c r="D3287">
        <v>48.75</v>
      </c>
    </row>
    <row r="3288" spans="1:4" x14ac:dyDescent="0.25">
      <c r="A3288" t="str">
        <f>T("   853710")</f>
        <v xml:space="preserve">   853710</v>
      </c>
      <c r="B3288" t="str">
        <f>T("   Tableaux, armoires et combinaisons d'appareils simil., pour la commande ou la distribution électrique, pour une tension &gt;= 1.000 V")</f>
        <v xml:space="preserve">   Tableaux, armoires et combinaisons d'appareils simil., pour la commande ou la distribution électrique, pour une tension &gt;= 1.000 V</v>
      </c>
      <c r="C3288">
        <v>63390400</v>
      </c>
      <c r="D3288">
        <v>5291</v>
      </c>
    </row>
    <row r="3289" spans="1:4" x14ac:dyDescent="0.25">
      <c r="A3289" t="str">
        <f>T("   853890")</f>
        <v xml:space="preserve">   853890</v>
      </c>
      <c r="B3289" t="s">
        <v>470</v>
      </c>
      <c r="C3289">
        <v>537684</v>
      </c>
      <c r="D3289">
        <v>45.75</v>
      </c>
    </row>
    <row r="3290" spans="1:4" x14ac:dyDescent="0.25">
      <c r="A3290" t="str">
        <f>T("   853921")</f>
        <v xml:space="preserve">   853921</v>
      </c>
      <c r="B3290" t="str">
        <f>T("   Lampes et tubes halogènes, au tungstène (autres que phares et projecteurs scellés)")</f>
        <v xml:space="preserve">   Lampes et tubes halogènes, au tungstène (autres que phares et projecteurs scellés)</v>
      </c>
      <c r="C3290">
        <v>140920</v>
      </c>
      <c r="D3290">
        <v>9</v>
      </c>
    </row>
    <row r="3291" spans="1:4" x14ac:dyDescent="0.25">
      <c r="A3291" t="str">
        <f>T("   853949")</f>
        <v xml:space="preserve">   853949</v>
      </c>
      <c r="B3291" t="str">
        <f>T("   Lampes et tubes à rayons ultraviolets ou infrarouges")</f>
        <v xml:space="preserve">   Lampes et tubes à rayons ultraviolets ou infrarouges</v>
      </c>
      <c r="C3291">
        <v>2404749</v>
      </c>
      <c r="D3291">
        <v>0.5</v>
      </c>
    </row>
    <row r="3292" spans="1:4" x14ac:dyDescent="0.25">
      <c r="A3292" t="str">
        <f>T("   854140")</f>
        <v xml:space="preserve">   854140</v>
      </c>
      <c r="B3292" t="str">
        <f>T("   Dispositifs photosensibles à semi-conducteur, y.c. les cellules photovoltaïques même assemblées en modules ou constituées en panneaux; diodes émettrices de lumière (sauf génératrices photovoltaïques)")</f>
        <v xml:space="preserve">   Dispositifs photosensibles à semi-conducteur, y.c. les cellules photovoltaïques même assemblées en modules ou constituées en panneaux; diodes émettrices de lumière (sauf génératrices photovoltaïques)</v>
      </c>
      <c r="C3292">
        <v>789518</v>
      </c>
      <c r="D3292">
        <v>1</v>
      </c>
    </row>
    <row r="3293" spans="1:4" x14ac:dyDescent="0.25">
      <c r="A3293" t="str">
        <f>T("   854190")</f>
        <v xml:space="preserve">   854190</v>
      </c>
      <c r="B3293" t="str">
        <f>T("   Parties des diodes, transistors et dispositifs simil. à semi-conducteur, dispositifs photosensibles à semi-conducteur, diodes émettrices de lumière et cristaux piézo-électriques montés, n.d.a.")</f>
        <v xml:space="preserve">   Parties des diodes, transistors et dispositifs simil. à semi-conducteur, dispositifs photosensibles à semi-conducteur, diodes émettrices de lumière et cristaux piézo-électriques montés, n.d.a.</v>
      </c>
      <c r="C3293">
        <v>406695</v>
      </c>
      <c r="D3293">
        <v>250</v>
      </c>
    </row>
    <row r="3294" spans="1:4" x14ac:dyDescent="0.25">
      <c r="A3294" t="str">
        <f>T("   854420")</f>
        <v xml:space="preserve">   854420</v>
      </c>
      <c r="B3294" t="str">
        <f>T("   Câbles coaxiaux et autres conducteurs électriques coaxiaux, isolés")</f>
        <v xml:space="preserve">   Câbles coaxiaux et autres conducteurs électriques coaxiaux, isolés</v>
      </c>
      <c r="C3294">
        <v>10832799</v>
      </c>
      <c r="D3294">
        <v>316</v>
      </c>
    </row>
    <row r="3295" spans="1:4" x14ac:dyDescent="0.25">
      <c r="A3295" t="str">
        <f>T("   854441")</f>
        <v xml:space="preserve">   854441</v>
      </c>
      <c r="B3295" t="str">
        <f>T("   Conducteurs électriques, pour tension &lt;= 80 V, isolés, avec pièces de connexion, n.d.a.")</f>
        <v xml:space="preserve">   Conducteurs électriques, pour tension &lt;= 80 V, isolés, avec pièces de connexion, n.d.a.</v>
      </c>
      <c r="C3295">
        <v>698607</v>
      </c>
      <c r="D3295">
        <v>1</v>
      </c>
    </row>
    <row r="3296" spans="1:4" x14ac:dyDescent="0.25">
      <c r="A3296" t="str">
        <f>T("   854449")</f>
        <v xml:space="preserve">   854449</v>
      </c>
      <c r="B3296" t="str">
        <f>T("   CONDUCTEURS ÉLECTRIQUES, POUR TENSION &lt;= 1.000 V, ISOLÉS, SANS PIÈCES DE CONNEXION, N.D.A.")</f>
        <v xml:space="preserve">   CONDUCTEURS ÉLECTRIQUES, POUR TENSION &lt;= 1.000 V, ISOLÉS, SANS PIÈCES DE CONNEXION, N.D.A.</v>
      </c>
      <c r="C3296">
        <v>1522433</v>
      </c>
      <c r="D3296">
        <v>25</v>
      </c>
    </row>
    <row r="3297" spans="1:4" x14ac:dyDescent="0.25">
      <c r="A3297" t="str">
        <f>T("   860900")</f>
        <v xml:space="preserve">   860900</v>
      </c>
      <c r="B3297" t="str">
        <f>T("   CADRES ET CONTENEURS -Y.C. LES CONTENEURS-CITERNES ET LES CONTENEURS-RÉSERVOIRS- SPÉCIALEMENT CONÇUS ET ÉQUIPÉS POUR UN OU PLUSIEURS MODES DE TRANSPORT")</f>
        <v xml:space="preserve">   CADRES ET CONTENEURS -Y.C. LES CONTENEURS-CITERNES ET LES CONTENEURS-RÉSERVOIRS- SPÉCIALEMENT CONÇUS ET ÉQUIPÉS POUR UN OU PLUSIEURS MODES DE TRANSPORT</v>
      </c>
      <c r="C3297">
        <v>31486</v>
      </c>
      <c r="D3297">
        <v>137</v>
      </c>
    </row>
    <row r="3298" spans="1:4" x14ac:dyDescent="0.25">
      <c r="A3298" t="str">
        <f>T("   870110")</f>
        <v xml:space="preserve">   870110</v>
      </c>
      <c r="B3298" t="str">
        <f>T("   Motoculteurs et tracteurs de construction similaire pour l'industrie (sauf tracteurs pour véhicules automobiles articulés)")</f>
        <v xml:space="preserve">   Motoculteurs et tracteurs de construction similaire pour l'industrie (sauf tracteurs pour véhicules automobiles articulés)</v>
      </c>
      <c r="C3298">
        <v>1000000</v>
      </c>
      <c r="D3298">
        <v>4200</v>
      </c>
    </row>
    <row r="3299" spans="1:4" x14ac:dyDescent="0.25">
      <c r="A3299" t="str">
        <f>T("   870120")</f>
        <v xml:space="preserve">   870120</v>
      </c>
      <c r="B3299" t="str">
        <f>T("   Tracteurs routiers pour semi-remorques")</f>
        <v xml:space="preserve">   Tracteurs routiers pour semi-remorques</v>
      </c>
      <c r="C3299">
        <v>63916944</v>
      </c>
      <c r="D3299">
        <v>178700</v>
      </c>
    </row>
    <row r="3300" spans="1:4" x14ac:dyDescent="0.25">
      <c r="A3300" t="str">
        <f>T("   870210")</f>
        <v xml:space="preserve">   870210</v>
      </c>
      <c r="B3300" t="s">
        <v>472</v>
      </c>
      <c r="C3300">
        <v>33867334</v>
      </c>
      <c r="D3300">
        <v>44420</v>
      </c>
    </row>
    <row r="3301" spans="1:4" x14ac:dyDescent="0.25">
      <c r="A3301" t="str">
        <f>T("   870290")</f>
        <v xml:space="preserve">   870290</v>
      </c>
      <c r="B3301" t="s">
        <v>473</v>
      </c>
      <c r="C3301">
        <v>54108614</v>
      </c>
      <c r="D3301">
        <v>66303</v>
      </c>
    </row>
    <row r="3302" spans="1:4" x14ac:dyDescent="0.25">
      <c r="A3302" t="str">
        <f>T("   870322")</f>
        <v xml:space="preserve">   870322</v>
      </c>
      <c r="B3302" t="s">
        <v>475</v>
      </c>
      <c r="C3302">
        <v>2233826848</v>
      </c>
      <c r="D3302">
        <v>1737131</v>
      </c>
    </row>
    <row r="3303" spans="1:4" x14ac:dyDescent="0.25">
      <c r="A3303" t="str">
        <f>T("   870323")</f>
        <v xml:space="preserve">   870323</v>
      </c>
      <c r="B3303" t="s">
        <v>476</v>
      </c>
      <c r="C3303">
        <v>265209418</v>
      </c>
      <c r="D3303">
        <v>79747</v>
      </c>
    </row>
    <row r="3304" spans="1:4" x14ac:dyDescent="0.25">
      <c r="A3304" t="str">
        <f>T("   870324")</f>
        <v xml:space="preserve">   870324</v>
      </c>
      <c r="B3304" t="s">
        <v>477</v>
      </c>
      <c r="C3304">
        <v>83481737</v>
      </c>
      <c r="D3304">
        <v>11569</v>
      </c>
    </row>
    <row r="3305" spans="1:4" x14ac:dyDescent="0.25">
      <c r="A3305" t="str">
        <f>T("   870333")</f>
        <v xml:space="preserve">   870333</v>
      </c>
      <c r="B3305" t="s">
        <v>480</v>
      </c>
      <c r="C3305">
        <v>90420135</v>
      </c>
      <c r="D3305">
        <v>26595</v>
      </c>
    </row>
    <row r="3306" spans="1:4" x14ac:dyDescent="0.25">
      <c r="A3306" t="str">
        <f>T("   870421")</f>
        <v xml:space="preserve">   870421</v>
      </c>
      <c r="B3306" t="s">
        <v>481</v>
      </c>
      <c r="C3306">
        <v>162588700</v>
      </c>
      <c r="D3306">
        <v>207696</v>
      </c>
    </row>
    <row r="3307" spans="1:4" x14ac:dyDescent="0.25">
      <c r="A3307" t="str">
        <f>T("   870422")</f>
        <v xml:space="preserve">   870422</v>
      </c>
      <c r="B3307" t="s">
        <v>482</v>
      </c>
      <c r="C3307">
        <v>21697968</v>
      </c>
      <c r="D3307">
        <v>59260</v>
      </c>
    </row>
    <row r="3308" spans="1:4" x14ac:dyDescent="0.25">
      <c r="A3308" t="str">
        <f>T("   870431")</f>
        <v xml:space="preserve">   870431</v>
      </c>
      <c r="B3308" t="s">
        <v>484</v>
      </c>
      <c r="C3308">
        <v>40148921</v>
      </c>
      <c r="D3308">
        <v>35755</v>
      </c>
    </row>
    <row r="3309" spans="1:4" x14ac:dyDescent="0.25">
      <c r="A3309" t="str">
        <f>T("   870490")</f>
        <v xml:space="preserve">   870490</v>
      </c>
      <c r="B3309" t="str">
        <f>T("   Véhicules automobiles pour le transport de marchandises à moteur autre qu'à piston à allumage par étincelles ou moteur diesel ou semi-diesel (sauf tombereaux automoteurs du n° 8704.10, véhicules automobiles à usages spéciaux du n° 8705)")</f>
        <v xml:space="preserve">   Véhicules automobiles pour le transport de marchandises à moteur autre qu'à piston à allumage par étincelles ou moteur diesel ou semi-diesel (sauf tombereaux automoteurs du n° 8704.10, véhicules automobiles à usages spéciaux du n° 8705)</v>
      </c>
      <c r="C3309">
        <v>6800000</v>
      </c>
      <c r="D3309">
        <v>14600</v>
      </c>
    </row>
    <row r="3310" spans="1:4" x14ac:dyDescent="0.25">
      <c r="A3310" t="str">
        <f>T("   870520")</f>
        <v xml:space="preserve">   870520</v>
      </c>
      <c r="B3310" t="str">
        <f>T("   Derricks automobiles pour le sondage ou le forage")</f>
        <v xml:space="preserve">   Derricks automobiles pour le sondage ou le forage</v>
      </c>
      <c r="C3310">
        <v>13472651</v>
      </c>
      <c r="D3310">
        <v>10085</v>
      </c>
    </row>
    <row r="3311" spans="1:4" x14ac:dyDescent="0.25">
      <c r="A3311" t="str">
        <f>T("   870540")</f>
        <v xml:space="preserve">   870540</v>
      </c>
      <c r="B3311" t="str">
        <f>T("   Camions-bétonnières")</f>
        <v xml:space="preserve">   Camions-bétonnières</v>
      </c>
      <c r="C3311">
        <v>33148938</v>
      </c>
      <c r="D3311">
        <v>39029</v>
      </c>
    </row>
    <row r="3312" spans="1:4" x14ac:dyDescent="0.25">
      <c r="A3312" t="str">
        <f>T("   870829")</f>
        <v xml:space="preserve">   870829</v>
      </c>
      <c r="B3312" t="s">
        <v>488</v>
      </c>
      <c r="C3312">
        <v>650000</v>
      </c>
      <c r="D3312">
        <v>3000</v>
      </c>
    </row>
    <row r="3313" spans="1:4" x14ac:dyDescent="0.25">
      <c r="A3313" t="str">
        <f>T("   870831")</f>
        <v xml:space="preserve">   870831</v>
      </c>
      <c r="B3313" t="str">
        <f>T("   GARNITURES DE FREINS MONTÉES, POUR TRACTEURS, VÉHICULES POUR LE TRANSPORT DE &gt;= 10 PERSONNES, CHAUFFEUR INCLUS, VOITURES DE TOURISME, VÉHICULES POUR LE TRANSPORT DE MARCHANDISES ET VÉHICULES À USAGES SPÉCIAUX")</f>
        <v xml:space="preserve">   GARNITURES DE FREINS MONTÉES, POUR TRACTEURS, VÉHICULES POUR LE TRANSPORT DE &gt;= 10 PERSONNES, CHAUFFEUR INCLUS, VOITURES DE TOURISME, VÉHICULES POUR LE TRANSPORT DE MARCHANDISES ET VÉHICULES À USAGES SPÉCIAUX</v>
      </c>
      <c r="C3313">
        <v>362978</v>
      </c>
      <c r="D3313">
        <v>12.9</v>
      </c>
    </row>
    <row r="3314" spans="1:4" x14ac:dyDescent="0.25">
      <c r="A3314" t="str">
        <f>T("   870839")</f>
        <v xml:space="preserve">   870839</v>
      </c>
      <c r="B3314" t="str">
        <f>T("   FREINS ET SERVO-FREINS, ET LEURS PARTIES, POUR DE TRACTEURS, VÉHICULES POUR LE TRANSPORT DE &gt;= 10 PERSONNES, CHAUFFEUR INCLUS, VOITURES DE TOURISME, VÉHICULES POUR LE TRANSPORT DE MARCHANDISES ET VÉHICULES À USAGES SPÉCIAUX, N.D.A.")</f>
        <v xml:space="preserve">   FREINS ET SERVO-FREINS, ET LEURS PARTIES, POUR DE TRACTEURS, VÉHICULES POUR LE TRANSPORT DE &gt;= 10 PERSONNES, CHAUFFEUR INCLUS, VOITURES DE TOURISME, VÉHICULES POUR LE TRANSPORT DE MARCHANDISES ET VÉHICULES À USAGES SPÉCIAUX, N.D.A.</v>
      </c>
      <c r="C3314">
        <v>5503400</v>
      </c>
      <c r="D3314">
        <v>281</v>
      </c>
    </row>
    <row r="3315" spans="1:4" x14ac:dyDescent="0.25">
      <c r="A3315" t="str">
        <f>T("   870840")</f>
        <v xml:space="preserve">   870840</v>
      </c>
      <c r="B3315" t="str">
        <f>T("   BOÎTES DE VITESSE ET LEURS PARTIES, POUR TRACTEURS, VÉHICULES POUR LE TRANSPORT DE &gt;= 10 PERSONNES, CHAUFFEUR INCLUS, VOITURES DE TOURISME, VÉHICULES POUR LE TRANSPORT DE MARCHANDISES ET VÉHICULES À USAGES SPÉCIAUX, N.D.A.")</f>
        <v xml:space="preserve">   BOÎTES DE VITESSE ET LEURS PARTIES, POUR TRACTEURS, VÉHICULES POUR LE TRANSPORT DE &gt;= 10 PERSONNES, CHAUFFEUR INCLUS, VOITURES DE TOURISME, VÉHICULES POUR LE TRANSPORT DE MARCHANDISES ET VÉHICULES À USAGES SPÉCIAUX, N.D.A.</v>
      </c>
      <c r="C3315">
        <v>6736219</v>
      </c>
      <c r="D3315">
        <v>850</v>
      </c>
    </row>
    <row r="3316" spans="1:4" x14ac:dyDescent="0.25">
      <c r="A3316" t="str">
        <f>T("   870860")</f>
        <v xml:space="preserve">   870860</v>
      </c>
      <c r="B3316" t="str">
        <f>T("   ESSIEUX PORTEURS ET LEURS PARTIES, POUR TRACTEURS, VÉHICULES POUR LE TRANSPORT DE &gt;= 10 PERSONNES, CHAUFFEUR INCLUS, VOITURES DE TOURISME, VÉHICULES POUR LE TRANSPORT DE MARCHANDISES ET VÉHICULES À USAGES SPÉCIAUX N.D.A.")</f>
        <v xml:space="preserve">   ESSIEUX PORTEURS ET LEURS PARTIES, POUR TRACTEURS, VÉHICULES POUR LE TRANSPORT DE &gt;= 10 PERSONNES, CHAUFFEUR INCLUS, VOITURES DE TOURISME, VÉHICULES POUR LE TRANSPORT DE MARCHANDISES ET VÉHICULES À USAGES SPÉCIAUX N.D.A.</v>
      </c>
      <c r="C3316">
        <v>2000000</v>
      </c>
      <c r="D3316">
        <v>1750</v>
      </c>
    </row>
    <row r="3317" spans="1:4" x14ac:dyDescent="0.25">
      <c r="A3317" t="str">
        <f>T("   870870")</f>
        <v xml:space="preserve">   870870</v>
      </c>
      <c r="B3317" t="str">
        <f>T("   ROUES, LEURS PARTIES ET ACCESSOIRES POUR TRACTEURS, VÉHICULES POUR LE TRANSPORT DE &gt;= 10 PERSONNES, CHAUFFEUR INCLUS, VOITURES DE TOURISME, VÉHICULES POUR LE TRANSPORT DE MARCHANDISES ET VÉHICULES À USAGES SPÉCIAUX, N.D.A.")</f>
        <v xml:space="preserve">   ROUES, LEURS PARTIES ET ACCESSOIRES POUR TRACTEURS, VÉHICULES POUR LE TRANSPORT DE &gt;= 10 PERSONNES, CHAUFFEUR INCLUS, VOITURES DE TOURISME, VÉHICULES POUR LE TRANSPORT DE MARCHANDISES ET VÉHICULES À USAGES SPÉCIAUX, N.D.A.</v>
      </c>
      <c r="C3317">
        <v>450762</v>
      </c>
      <c r="D3317">
        <v>653</v>
      </c>
    </row>
    <row r="3318" spans="1:4" x14ac:dyDescent="0.25">
      <c r="A3318" t="str">
        <f>T("   870880")</f>
        <v xml:space="preserve">   870880</v>
      </c>
      <c r="B3318" t="s">
        <v>490</v>
      </c>
      <c r="C3318">
        <v>14115930</v>
      </c>
      <c r="D3318">
        <v>875.8</v>
      </c>
    </row>
    <row r="3319" spans="1:4" x14ac:dyDescent="0.25">
      <c r="A3319" t="str">
        <f>T("   870899")</f>
        <v xml:space="preserve">   870899</v>
      </c>
      <c r="B3319"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3319">
        <v>31701796</v>
      </c>
      <c r="D3319">
        <v>12753.82</v>
      </c>
    </row>
    <row r="3320" spans="1:4" x14ac:dyDescent="0.25">
      <c r="A3320" t="str">
        <f>T("   871120")</f>
        <v xml:space="preserve">   871120</v>
      </c>
      <c r="B3320" t="str">
        <f>T("   Motocycles à moteur à piston alternatif, cylindrée &gt; 50 cm³ mais &lt;= 250 cm³")</f>
        <v xml:space="preserve">   Motocycles à moteur à piston alternatif, cylindrée &gt; 50 cm³ mais &lt;= 250 cm³</v>
      </c>
      <c r="C3320">
        <v>4798799</v>
      </c>
      <c r="D3320">
        <v>3566</v>
      </c>
    </row>
    <row r="3321" spans="1:4" x14ac:dyDescent="0.25">
      <c r="A3321" t="str">
        <f>T("   871130")</f>
        <v xml:space="preserve">   871130</v>
      </c>
      <c r="B3321" t="str">
        <f>T("   Motocycles à moteur à piston alternatif, cylindrée &gt; 250 cm³ mais &lt;= 500 cm³")</f>
        <v xml:space="preserve">   Motocycles à moteur à piston alternatif, cylindrée &gt; 250 cm³ mais &lt;= 500 cm³</v>
      </c>
      <c r="C3321">
        <v>3965790</v>
      </c>
      <c r="D3321">
        <v>1320</v>
      </c>
    </row>
    <row r="3322" spans="1:4" x14ac:dyDescent="0.25">
      <c r="A3322" t="str">
        <f>T("   871140")</f>
        <v xml:space="preserve">   871140</v>
      </c>
      <c r="B3322" t="str">
        <f>T("   Motocycles à moteur à piston alternatif, cylindrée &gt; 500 cm³ mais &lt;= 800 cm³")</f>
        <v xml:space="preserve">   Motocycles à moteur à piston alternatif, cylindrée &gt; 500 cm³ mais &lt;= 800 cm³</v>
      </c>
      <c r="C3322">
        <v>998176</v>
      </c>
      <c r="D3322">
        <v>1292</v>
      </c>
    </row>
    <row r="3323" spans="1:4" x14ac:dyDescent="0.25">
      <c r="A3323" t="str">
        <f>T("   871190")</f>
        <v xml:space="preserve">   871190</v>
      </c>
      <c r="B3323" t="str">
        <f>T("   Side-cars")</f>
        <v xml:space="preserve">   Side-cars</v>
      </c>
      <c r="C3323">
        <v>990337</v>
      </c>
      <c r="D3323">
        <v>600</v>
      </c>
    </row>
    <row r="3324" spans="1:4" x14ac:dyDescent="0.25">
      <c r="A3324" t="str">
        <f>T("   871200")</f>
        <v xml:space="preserve">   871200</v>
      </c>
      <c r="B3324" t="str">
        <f>T("   BICYCLETTES ET AUTRES CYCLES, -Y.C. LES TRIPORTEURS-, SANS MOTEUR")</f>
        <v xml:space="preserve">   BICYCLETTES ET AUTRES CYCLES, -Y.C. LES TRIPORTEURS-, SANS MOTEUR</v>
      </c>
      <c r="C3324">
        <v>109857</v>
      </c>
      <c r="D3324">
        <v>193</v>
      </c>
    </row>
    <row r="3325" spans="1:4" x14ac:dyDescent="0.25">
      <c r="A3325" t="str">
        <f>T("   871491")</f>
        <v xml:space="preserve">   871491</v>
      </c>
      <c r="B3325" t="str">
        <f>T("   Cadres et fourches, et leurs parties, de bicyclettes, n.d.a.")</f>
        <v xml:space="preserve">   Cadres et fourches, et leurs parties, de bicyclettes, n.d.a.</v>
      </c>
      <c r="C3325">
        <v>1625000</v>
      </c>
      <c r="D3325">
        <v>1550</v>
      </c>
    </row>
    <row r="3326" spans="1:4" x14ac:dyDescent="0.25">
      <c r="A3326" t="str">
        <f>T("   871492")</f>
        <v xml:space="preserve">   871492</v>
      </c>
      <c r="B3326" t="str">
        <f>T("   Jantes et rayons, de bicyclettes")</f>
        <v xml:space="preserve">   Jantes et rayons, de bicyclettes</v>
      </c>
      <c r="C3326">
        <v>400000</v>
      </c>
      <c r="D3326">
        <v>1500</v>
      </c>
    </row>
    <row r="3327" spans="1:4" x14ac:dyDescent="0.25">
      <c r="A3327" t="str">
        <f>T("   871499")</f>
        <v xml:space="preserve">   871499</v>
      </c>
      <c r="B3327" t="str">
        <f>T("   Parties et accessoires, de bicyclettes, n.d.a.")</f>
        <v xml:space="preserve">   Parties et accessoires, de bicyclettes, n.d.a.</v>
      </c>
      <c r="C3327">
        <v>2200000</v>
      </c>
      <c r="D3327">
        <v>4000</v>
      </c>
    </row>
    <row r="3328" spans="1:4" x14ac:dyDescent="0.25">
      <c r="A3328" t="str">
        <f>T("   871639")</f>
        <v xml:space="preserve">   871639</v>
      </c>
      <c r="B3328" t="str">
        <f>T("   Remorques ne circulant pas sur rails, pour le transport des marchandises (sauf remorques destinées à des usages agricoles, remorques autochargeuses ou autodéchargeuses et remorques-citernes)")</f>
        <v xml:space="preserve">   Remorques ne circulant pas sur rails, pour le transport des marchandises (sauf remorques destinées à des usages agricoles, remorques autochargeuses ou autodéchargeuses et remorques-citernes)</v>
      </c>
      <c r="C3328">
        <v>2400000</v>
      </c>
      <c r="D3328">
        <v>5400</v>
      </c>
    </row>
    <row r="3329" spans="1:4" x14ac:dyDescent="0.25">
      <c r="A3329" t="str">
        <f>T("   871640")</f>
        <v xml:space="preserve">   871640</v>
      </c>
      <c r="B3329" t="str">
        <f>T("   Remorques ne circulant pas sur rails (à l'excl. des remorques pour le transport de marchandises et remorques pour l'habitation ou le camping, du type caravane)")</f>
        <v xml:space="preserve">   Remorques ne circulant pas sur rails (à l'excl. des remorques pour le transport de marchandises et remorques pour l'habitation ou le camping, du type caravane)</v>
      </c>
      <c r="C3329">
        <v>24000000</v>
      </c>
      <c r="D3329">
        <v>75730</v>
      </c>
    </row>
    <row r="3330" spans="1:4" x14ac:dyDescent="0.25">
      <c r="A3330" t="str">
        <f>T("   900290")</f>
        <v xml:space="preserve">   900290</v>
      </c>
      <c r="B3330" t="str">
        <f>T("   Lentilles, prismes, miroirs et autres éléments d'optique, en toutes matières, montés, pour instruments ou appareils (autres que ceux en verre non travaillé optiquement ainsi que les filtres et les objectifs)")</f>
        <v xml:space="preserve">   Lentilles, prismes, miroirs et autres éléments d'optique, en toutes matières, montés, pour instruments ou appareils (autres que ceux en verre non travaillé optiquement ainsi que les filtres et les objectifs)</v>
      </c>
      <c r="C3330">
        <v>1731440</v>
      </c>
      <c r="D3330">
        <v>42</v>
      </c>
    </row>
    <row r="3331" spans="1:4" x14ac:dyDescent="0.25">
      <c r="A3331" t="str">
        <f>T("   900840")</f>
        <v xml:space="preserve">   900840</v>
      </c>
      <c r="B3331" t="str">
        <f>T("   Appareils photographiques d'agrandissement ou de réduction")</f>
        <v xml:space="preserve">   Appareils photographiques d'agrandissement ou de réduction</v>
      </c>
      <c r="C3331">
        <v>439606</v>
      </c>
      <c r="D3331">
        <v>700</v>
      </c>
    </row>
    <row r="3332" spans="1:4" x14ac:dyDescent="0.25">
      <c r="A3332" t="str">
        <f>T("   901831")</f>
        <v xml:space="preserve">   901831</v>
      </c>
      <c r="B3332" t="str">
        <f>T("   Seringues, avec ou sans aiguilles, pour la médecine")</f>
        <v xml:space="preserve">   Seringues, avec ou sans aiguilles, pour la médecine</v>
      </c>
      <c r="C3332">
        <v>2061308</v>
      </c>
      <c r="D3332">
        <v>178</v>
      </c>
    </row>
    <row r="3333" spans="1:4" x14ac:dyDescent="0.25">
      <c r="A3333" t="str">
        <f>T("   901839")</f>
        <v xml:space="preserve">   901839</v>
      </c>
      <c r="B3333" t="str">
        <f>T("   AIGUILLES, CTHEÉTERS, CANULES ET SIMIL. POUR LA MÉDECINE (SAUF SERINGUES, AIGUILLES TUBULAIRES EN MÉTAL ET AIGUILLES À SUTURES)")</f>
        <v xml:space="preserve">   AIGUILLES, CTHEÉTERS, CANULES ET SIMIL. POUR LA MÉDECINE (SAUF SERINGUES, AIGUILLES TUBULAIRES EN MÉTAL ET AIGUILLES À SUTURES)</v>
      </c>
      <c r="C3333">
        <v>286035293</v>
      </c>
      <c r="D3333">
        <v>97926</v>
      </c>
    </row>
    <row r="3334" spans="1:4" x14ac:dyDescent="0.25">
      <c r="A3334" t="str">
        <f>T("   901890")</f>
        <v xml:space="preserve">   901890</v>
      </c>
      <c r="B3334" t="str">
        <f>T("   Instruments et appareils pour la médecine, la chirurgie ou l'art vétérinaire, n.d.a.")</f>
        <v xml:space="preserve">   Instruments et appareils pour la médecine, la chirurgie ou l'art vétérinaire, n.d.a.</v>
      </c>
      <c r="C3334">
        <v>15160947</v>
      </c>
      <c r="D3334">
        <v>1545</v>
      </c>
    </row>
    <row r="3335" spans="1:4" x14ac:dyDescent="0.25">
      <c r="A3335" t="str">
        <f>T("   902221")</f>
        <v xml:space="preserve">   902221</v>
      </c>
      <c r="B3335" t="str">
        <f>T("   Appareils utilisant les radiations alpha, bêta ou gamma, à usage médical, chirurgical, dentaire ou vétérinaire")</f>
        <v xml:space="preserve">   Appareils utilisant les radiations alpha, bêta ou gamma, à usage médical, chirurgical, dentaire ou vétérinaire</v>
      </c>
      <c r="C3335">
        <v>4529276</v>
      </c>
      <c r="D3335">
        <v>780</v>
      </c>
    </row>
    <row r="3336" spans="1:4" x14ac:dyDescent="0.25">
      <c r="A3336" t="str">
        <f>T("   902519")</f>
        <v xml:space="preserve">   902519</v>
      </c>
      <c r="B3336" t="str">
        <f>T("   THERMOMÈTRES ET PYROMÈTRES, NON-COMBINÉS À D'AUTRES INSTRUMENTS (À L'EXCL. DES THERMOMÈTRES À LIQUIDE, À LECTURE DIRECTE) [01/01/1988-31/12/1991: THERMOMÈTRES, NON COMBINES A D'AUTRES INSTRUMENTS, (NON REPR. SOUS 9025.11)]")</f>
        <v xml:space="preserve">   THERMOMÈTRES ET PYROMÈTRES, NON-COMBINÉS À D'AUTRES INSTRUMENTS (À L'EXCL. DES THERMOMÈTRES À LIQUIDE, À LECTURE DIRECTE) [01/01/1988-31/12/1991: THERMOMÈTRES, NON COMBINES A D'AUTRES INSTRUMENTS, (NON REPR. SOUS 9025.11)]</v>
      </c>
      <c r="C3336">
        <v>1622498</v>
      </c>
      <c r="D3336">
        <v>12</v>
      </c>
    </row>
    <row r="3337" spans="1:4" x14ac:dyDescent="0.25">
      <c r="A3337" t="str">
        <f>T("   902580")</f>
        <v xml:space="preserve">   902580</v>
      </c>
      <c r="B3337" t="s">
        <v>501</v>
      </c>
      <c r="C3337">
        <v>1748133</v>
      </c>
      <c r="D3337">
        <v>13</v>
      </c>
    </row>
    <row r="3338" spans="1:4" x14ac:dyDescent="0.25">
      <c r="A3338" t="str">
        <f>T("   902610")</f>
        <v xml:space="preserve">   902610</v>
      </c>
      <c r="B3338" t="str">
        <f>T("   Instruments et appareils pour la mesure ou le contrôle du débit ou du niveau des liquides (à l'excl. des compteurs et des instruments et appareils pour la régulation ou le contrôle automatiques)")</f>
        <v xml:space="preserve">   Instruments et appareils pour la mesure ou le contrôle du débit ou du niveau des liquides (à l'excl. des compteurs et des instruments et appareils pour la régulation ou le contrôle automatiques)</v>
      </c>
      <c r="C3338">
        <v>20425141</v>
      </c>
      <c r="D3338">
        <v>405.5</v>
      </c>
    </row>
    <row r="3339" spans="1:4" x14ac:dyDescent="0.25">
      <c r="A3339" t="str">
        <f>T("   902620")</f>
        <v xml:space="preserve">   902620</v>
      </c>
      <c r="B3339" t="str">
        <f>T("   Instruments et appareils pour la mesure ou le contrôle de la pression des liquides ou des gaz (à l'excl. des instruments et appareils pour la régulation ou le contrôle automatiques)")</f>
        <v xml:space="preserve">   Instruments et appareils pour la mesure ou le contrôle de la pression des liquides ou des gaz (à l'excl. des instruments et appareils pour la régulation ou le contrôle automatiques)</v>
      </c>
      <c r="C3339">
        <v>1601475</v>
      </c>
      <c r="D3339">
        <v>9</v>
      </c>
    </row>
    <row r="3340" spans="1:4" x14ac:dyDescent="0.25">
      <c r="A3340" t="str">
        <f>T("   902680")</f>
        <v xml:space="preserve">   902680</v>
      </c>
      <c r="B3340" t="str">
        <f>T("   Instruments et appareils pour la mesure et le contrôle des caractéristiques variables des liquides ou des gaz, n.d.a.")</f>
        <v xml:space="preserve">   Instruments et appareils pour la mesure et le contrôle des caractéristiques variables des liquides ou des gaz, n.d.a.</v>
      </c>
      <c r="C3340">
        <v>11417943</v>
      </c>
      <c r="D3340">
        <v>24</v>
      </c>
    </row>
    <row r="3341" spans="1:4" x14ac:dyDescent="0.25">
      <c r="A3341" t="str">
        <f>T("   902690")</f>
        <v xml:space="preserve">   902690</v>
      </c>
      <c r="B3341" t="str">
        <f>T("   Parties et accessoires des instruments et appareils pour la mesure ou le contrôle du débit, du niveau, de la pression ou d'autres caractéristiques variables des liquides ou des gaz, n.d.a.")</f>
        <v xml:space="preserve">   Parties et accessoires des instruments et appareils pour la mesure ou le contrôle du débit, du niveau, de la pression ou d'autres caractéristiques variables des liquides ou des gaz, n.d.a.</v>
      </c>
      <c r="C3341">
        <v>3906335</v>
      </c>
      <c r="D3341">
        <v>61</v>
      </c>
    </row>
    <row r="3342" spans="1:4" x14ac:dyDescent="0.25">
      <c r="A3342" t="str">
        <f>T("   902750")</f>
        <v xml:space="preserve">   902750</v>
      </c>
      <c r="B3342" t="str">
        <f>T("   Instruments et appareils utilisant les rayonnements optiques: UV, visibles, IR (à l'excl. des spectromètres, spectrophotomètres et spectrographes ainsi que des analyseurs de gaz ou de fumées)")</f>
        <v xml:space="preserve">   Instruments et appareils utilisant les rayonnements optiques: UV, visibles, IR (à l'excl. des spectromètres, spectrophotomètres et spectrographes ainsi que des analyseurs de gaz ou de fumées)</v>
      </c>
      <c r="C3342">
        <v>2794022</v>
      </c>
      <c r="D3342">
        <v>2</v>
      </c>
    </row>
    <row r="3343" spans="1:4" x14ac:dyDescent="0.25">
      <c r="A3343" t="str">
        <f>T("   902780")</f>
        <v xml:space="preserve">   902780</v>
      </c>
      <c r="B3343" t="str">
        <f>T("   Instruments et appareils pour analyses physiques ou chimiques, ou pour essais de viscosité, de porosité, de dilatation, de tension superficielle ou simil. ou pour mesures calorimétriques ou acoustiques ou photométriques, n.d.a.")</f>
        <v xml:space="preserve">   Instruments et appareils pour analyses physiques ou chimiques, ou pour essais de viscosité, de porosité, de dilatation, de tension superficielle ou simil. ou pour mesures calorimétriques ou acoustiques ou photométriques, n.d.a.</v>
      </c>
      <c r="C3343">
        <v>31160893</v>
      </c>
      <c r="D3343">
        <v>48.75</v>
      </c>
    </row>
    <row r="3344" spans="1:4" x14ac:dyDescent="0.25">
      <c r="A3344" t="str">
        <f>T("   902790")</f>
        <v xml:space="preserve">   902790</v>
      </c>
      <c r="B3344" t="s">
        <v>502</v>
      </c>
      <c r="C3344">
        <v>16016353</v>
      </c>
      <c r="D3344">
        <v>52.5</v>
      </c>
    </row>
    <row r="3345" spans="1:4" x14ac:dyDescent="0.25">
      <c r="A3345" t="str">
        <f>T("   902810")</f>
        <v xml:space="preserve">   902810</v>
      </c>
      <c r="B3345" t="str">
        <f>T("   Compteurs de gaz, y.c. les compteurs pour leur étalonnage")</f>
        <v xml:space="preserve">   Compteurs de gaz, y.c. les compteurs pour leur étalonnage</v>
      </c>
      <c r="C3345">
        <v>5714815</v>
      </c>
      <c r="D3345">
        <v>22</v>
      </c>
    </row>
    <row r="3346" spans="1:4" x14ac:dyDescent="0.25">
      <c r="A3346" t="str">
        <f>T("   903039")</f>
        <v xml:space="preserve">   903039</v>
      </c>
      <c r="B3346" t="str">
        <f>T("   Instruments et appareils pour la mesure ou le contrôle de la tension, de l'intensité, de la résistance ou de la puissance, sans dispositif enregistreur (à l'excl. des multimètres ainsi que des oscilloscopes et oscillographes cathodiques)")</f>
        <v xml:space="preserve">   Instruments et appareils pour la mesure ou le contrôle de la tension, de l'intensité, de la résistance ou de la puissance, sans dispositif enregistreur (à l'excl. des multimètres ainsi que des oscilloscopes et oscillographes cathodiques)</v>
      </c>
      <c r="C3346">
        <v>927199</v>
      </c>
      <c r="D3346">
        <v>122</v>
      </c>
    </row>
    <row r="3347" spans="1:4" x14ac:dyDescent="0.25">
      <c r="A3347" t="str">
        <f>T("   903180")</f>
        <v xml:space="preserve">   903180</v>
      </c>
      <c r="B3347" t="str">
        <f>T("   INSTRUMENTS, APPAREILS ET MACHINES DE MESURE OU DE CONTRÔLE, NON-OPTIQUES, N.D.A. DANS LE PRÉSENT CHAPITRE")</f>
        <v xml:space="preserve">   INSTRUMENTS, APPAREILS ET MACHINES DE MESURE OU DE CONTRÔLE, NON-OPTIQUES, N.D.A. DANS LE PRÉSENT CHAPITRE</v>
      </c>
      <c r="C3347">
        <v>11510132</v>
      </c>
      <c r="D3347">
        <v>48</v>
      </c>
    </row>
    <row r="3348" spans="1:4" x14ac:dyDescent="0.25">
      <c r="A3348" t="str">
        <f>T("   903190")</f>
        <v xml:space="preserve">   903190</v>
      </c>
      <c r="B3348" t="str">
        <f>T("   Parties et accessoires des instruments, appareils et machines de mesure ou de contrôle, n.d.a.")</f>
        <v xml:space="preserve">   Parties et accessoires des instruments, appareils et machines de mesure ou de contrôle, n.d.a.</v>
      </c>
      <c r="C3348">
        <v>17026271</v>
      </c>
      <c r="D3348">
        <v>60</v>
      </c>
    </row>
    <row r="3349" spans="1:4" x14ac:dyDescent="0.25">
      <c r="A3349" t="str">
        <f>T("   903210")</f>
        <v xml:space="preserve">   903210</v>
      </c>
      <c r="B3349" t="str">
        <f>T("   Thermostats pour la régulation ou le contrôle automatiques")</f>
        <v xml:space="preserve">   Thermostats pour la régulation ou le contrôle automatiques</v>
      </c>
      <c r="C3349">
        <v>373241</v>
      </c>
      <c r="D3349">
        <v>7</v>
      </c>
    </row>
    <row r="3350" spans="1:4" x14ac:dyDescent="0.25">
      <c r="A3350" t="str">
        <f>T("   903289")</f>
        <v xml:space="preserve">   903289</v>
      </c>
      <c r="B3350" t="s">
        <v>503</v>
      </c>
      <c r="C3350">
        <v>1475018</v>
      </c>
      <c r="D3350">
        <v>2</v>
      </c>
    </row>
    <row r="3351" spans="1:4" x14ac:dyDescent="0.25">
      <c r="A3351" t="str">
        <f>T("   903300")</f>
        <v xml:space="preserve">   903300</v>
      </c>
      <c r="B3351" t="str">
        <f>T("   Parties et accessoires pour machines, appareils, instruments ou articles du chapitre 90, non dénommés ni compris dans le présent chapitre ou ailleurs")</f>
        <v xml:space="preserve">   Parties et accessoires pour machines, appareils, instruments ou articles du chapitre 90, non dénommés ni compris dans le présent chapitre ou ailleurs</v>
      </c>
      <c r="C3351">
        <v>5031732</v>
      </c>
      <c r="D3351">
        <v>10</v>
      </c>
    </row>
    <row r="3352" spans="1:4" x14ac:dyDescent="0.25">
      <c r="A3352" t="str">
        <f>T("   910529")</f>
        <v xml:space="preserve">   910529</v>
      </c>
      <c r="B3352" t="str">
        <f>T("   Pendules et horloges murales ne fonctionnant pas électriquement")</f>
        <v xml:space="preserve">   Pendules et horloges murales ne fonctionnant pas électriquement</v>
      </c>
      <c r="C3352">
        <v>293214</v>
      </c>
      <c r="D3352">
        <v>1022</v>
      </c>
    </row>
    <row r="3353" spans="1:4" x14ac:dyDescent="0.25">
      <c r="A3353" t="str">
        <f>T("   910690")</f>
        <v xml:space="preserve">   910690</v>
      </c>
      <c r="B3353" t="str">
        <f>T("   APPAREILS DE CONTRÔLE DE TEMPS, À MOUVEMENT D'HORLOGERIE OU À MOTEUR SYNCHRONE (AUTRES QU'APPAREILS D'HORLOGERIE DU N° 9101 À 9105, HORLOGES DE POINTAGE, HORODATEURS ET HOROCOMPTEURS)")</f>
        <v xml:space="preserve">   APPAREILS DE CONTRÔLE DE TEMPS, À MOUVEMENT D'HORLOGERIE OU À MOTEUR SYNCHRONE (AUTRES QU'APPAREILS D'HORLOGERIE DU N° 9101 À 9105, HORLOGES DE POINTAGE, HORODATEURS ET HOROCOMPTEURS)</v>
      </c>
      <c r="C3353">
        <v>55643</v>
      </c>
      <c r="D3353">
        <v>6</v>
      </c>
    </row>
    <row r="3354" spans="1:4" x14ac:dyDescent="0.25">
      <c r="A3354" t="str">
        <f>T("   920710")</f>
        <v xml:space="preserve">   920710</v>
      </c>
      <c r="B3354" t="str">
        <f>T("   Instruments à clavier électriques (sauf accordéons)")</f>
        <v xml:space="preserve">   Instruments à clavier électriques (sauf accordéons)</v>
      </c>
      <c r="C3354">
        <v>799284</v>
      </c>
      <c r="D3354">
        <v>149</v>
      </c>
    </row>
    <row r="3355" spans="1:4" x14ac:dyDescent="0.25">
      <c r="A3355" t="str">
        <f>T("   940169")</f>
        <v xml:space="preserve">   940169</v>
      </c>
      <c r="B3355" t="str">
        <f>T("   Sièges, avec bâti en bois, non rembourrés")</f>
        <v xml:space="preserve">   Sièges, avec bâti en bois, non rembourrés</v>
      </c>
      <c r="C3355">
        <v>3287242</v>
      </c>
      <c r="D3355">
        <v>2400</v>
      </c>
    </row>
    <row r="3356" spans="1:4" x14ac:dyDescent="0.25">
      <c r="A3356" t="str">
        <f>T("   940180")</f>
        <v xml:space="preserve">   940180</v>
      </c>
      <c r="B3356" t="str">
        <f>T("   Sièges, n.d.a.")</f>
        <v xml:space="preserve">   Sièges, n.d.a.</v>
      </c>
      <c r="C3356">
        <v>7243766</v>
      </c>
      <c r="D3356">
        <v>6700</v>
      </c>
    </row>
    <row r="3357" spans="1:4" x14ac:dyDescent="0.25">
      <c r="A3357" t="str">
        <f>T("   940210")</f>
        <v xml:space="preserve">   940210</v>
      </c>
      <c r="B3357" t="str">
        <f>T("   Fauteuils de dentistes, fauteuils pour salons de coiffure et fauteuils simil., avec dispositif à la fois d'orientation et d'élévation, et leurs parties, n.d.a.")</f>
        <v xml:space="preserve">   Fauteuils de dentistes, fauteuils pour salons de coiffure et fauteuils simil., avec dispositif à la fois d'orientation et d'élévation, et leurs parties, n.d.a.</v>
      </c>
      <c r="C3357">
        <v>1311920</v>
      </c>
      <c r="D3357">
        <v>1828</v>
      </c>
    </row>
    <row r="3358" spans="1:4" x14ac:dyDescent="0.25">
      <c r="A3358" t="str">
        <f>T("   940290")</f>
        <v xml:space="preserve">   940290</v>
      </c>
      <c r="B3358" t="str">
        <f>T("   Tables d'opération, tables d'examen et autre mobilier pour la médecine, la chirurgie, l'art dentaire ou vétérinaire (sauf fauteuils de dentistes et autres sièges, tables d'examen radiographique, civières et brancards, y.c. chariots-brancards)")</f>
        <v xml:space="preserve">   Tables d'opération, tables d'examen et autre mobilier pour la médecine, la chirurgie, l'art dentaire ou vétérinaire (sauf fauteuils de dentistes et autres sièges, tables d'examen radiographique, civières et brancards, y.c. chariots-brancards)</v>
      </c>
      <c r="C3358">
        <v>2607078</v>
      </c>
      <c r="D3358">
        <v>6500</v>
      </c>
    </row>
    <row r="3359" spans="1:4" x14ac:dyDescent="0.25">
      <c r="A3359" t="str">
        <f>T("   940330")</f>
        <v xml:space="preserve">   940330</v>
      </c>
      <c r="B3359" t="str">
        <f>T("   Meubles de bureau en bois (sauf sièges)")</f>
        <v xml:space="preserve">   Meubles de bureau en bois (sauf sièges)</v>
      </c>
      <c r="C3359">
        <v>1062655</v>
      </c>
      <c r="D3359">
        <v>958</v>
      </c>
    </row>
    <row r="3360" spans="1:4" x14ac:dyDescent="0.25">
      <c r="A3360" t="str">
        <f>T("   940350")</f>
        <v xml:space="preserve">   940350</v>
      </c>
      <c r="B3360" t="str">
        <f>T("   Meubles pour chambres à coucher, en bois (sauf sièges)")</f>
        <v xml:space="preserve">   Meubles pour chambres à coucher, en bois (sauf sièges)</v>
      </c>
      <c r="C3360">
        <v>15872831</v>
      </c>
      <c r="D3360">
        <v>26728</v>
      </c>
    </row>
    <row r="3361" spans="1:4" x14ac:dyDescent="0.25">
      <c r="A3361" t="str">
        <f>T("   940360")</f>
        <v xml:space="preserve">   940360</v>
      </c>
      <c r="B3361" t="str">
        <f>T("   Meubles en bois (autres que pour bureaux, cuisines ou chambres à coucher et autres que sièges)")</f>
        <v xml:space="preserve">   Meubles en bois (autres que pour bureaux, cuisines ou chambres à coucher et autres que sièges)</v>
      </c>
      <c r="C3361">
        <v>18346707</v>
      </c>
      <c r="D3361">
        <v>17835</v>
      </c>
    </row>
    <row r="3362" spans="1:4" x14ac:dyDescent="0.25">
      <c r="A3362" t="str">
        <f>T("   940370")</f>
        <v xml:space="preserve">   940370</v>
      </c>
      <c r="B3362" t="str">
        <f>T("   Meubles en matières plastiques (autres que pour la médecine, l'art dentaire et vétérinaire, la chirurgie et autres que sièges)")</f>
        <v xml:space="preserve">   Meubles en matières plastiques (autres que pour la médecine, l'art dentaire et vétérinaire, la chirurgie et autres que sièges)</v>
      </c>
      <c r="C3362">
        <v>100000</v>
      </c>
      <c r="D3362">
        <v>500</v>
      </c>
    </row>
    <row r="3363" spans="1:4" x14ac:dyDescent="0.25">
      <c r="A3363" t="str">
        <f>T("   940380")</f>
        <v xml:space="preserve">   940380</v>
      </c>
      <c r="B3363" t="str">
        <f>T("   Meubles en rotin, osier, bambou ou autres matières (sauf métal, bois et matières plastiques)")</f>
        <v xml:space="preserve">   Meubles en rotin, osier, bambou ou autres matières (sauf métal, bois et matières plastiques)</v>
      </c>
      <c r="C3363">
        <v>23404686</v>
      </c>
      <c r="D3363">
        <v>32237</v>
      </c>
    </row>
    <row r="3364" spans="1:4" x14ac:dyDescent="0.25">
      <c r="A3364" t="str">
        <f>T("   940410")</f>
        <v xml:space="preserve">   940410</v>
      </c>
      <c r="B3364" t="str">
        <f>T("   Sommiers (sauf ressorts pour sièges)")</f>
        <v xml:space="preserve">   Sommiers (sauf ressorts pour sièges)</v>
      </c>
      <c r="C3364">
        <v>160000</v>
      </c>
      <c r="D3364">
        <v>186</v>
      </c>
    </row>
    <row r="3365" spans="1:4" x14ac:dyDescent="0.25">
      <c r="A3365" t="str">
        <f>T("   940429")</f>
        <v xml:space="preserve">   940429</v>
      </c>
      <c r="B3365" t="str">
        <f>T("   Matelas à ressorts ou rembourrés, ou garnis intérieurement de matières autres que le caoutchouc alvéolaire ou les matières plastiques alvéolaires (sauf matelas à eau, matelas pneumatiques et oreillers)")</f>
        <v xml:space="preserve">   Matelas à ressorts ou rembourrés, ou garnis intérieurement de matières autres que le caoutchouc alvéolaire ou les matières plastiques alvéolaires (sauf matelas à eau, matelas pneumatiques et oreillers)</v>
      </c>
      <c r="C3365">
        <v>4701755</v>
      </c>
      <c r="D3365">
        <v>3438</v>
      </c>
    </row>
    <row r="3366" spans="1:4" x14ac:dyDescent="0.25">
      <c r="A3366" t="str">
        <f>T("   940540")</f>
        <v xml:space="preserve">   940540</v>
      </c>
      <c r="B3366" t="str">
        <f>T("   Appareils d'éclairage électrique, n.d.a.")</f>
        <v xml:space="preserve">   Appareils d'éclairage électrique, n.d.a.</v>
      </c>
      <c r="C3366">
        <v>1252355</v>
      </c>
      <c r="D3366">
        <v>414</v>
      </c>
    </row>
    <row r="3367" spans="1:4" x14ac:dyDescent="0.25">
      <c r="A3367" t="str">
        <f>T("   950100")</f>
        <v xml:space="preserve">   950100</v>
      </c>
      <c r="B3367" t="str">
        <f>T("   JOUETS À ROUES CONÇUS POUR ÊTRE MONTÉS PAR LES ENFANTS, P.EX. TRICYCLES, TROTTINETTES, AUTOS À PÉDALES (À L'EXCL. DES CYCLES HABITUELS AVEC ROULEMENT À BILLES); LANDAUS ET POUSSETTES POUR POUPÉES")</f>
        <v xml:space="preserve">   JOUETS À ROUES CONÇUS POUR ÊTRE MONTÉS PAR LES ENFANTS, P.EX. TRICYCLES, TROTTINETTES, AUTOS À PÉDALES (À L'EXCL. DES CYCLES HABITUELS AVEC ROULEMENT À BILLES); LANDAUS ET POUSSETTES POUR POUPÉES</v>
      </c>
      <c r="C3367">
        <v>5248</v>
      </c>
      <c r="D3367">
        <v>5</v>
      </c>
    </row>
    <row r="3368" spans="1:4" x14ac:dyDescent="0.25">
      <c r="A3368" t="str">
        <f>T("   950390")</f>
        <v xml:space="preserve">   950390</v>
      </c>
      <c r="B3368" t="str">
        <f>T("   Jouets, n.d.a.")</f>
        <v xml:space="preserve">   Jouets, n.d.a.</v>
      </c>
      <c r="C3368">
        <v>300000</v>
      </c>
      <c r="D3368">
        <v>1330</v>
      </c>
    </row>
    <row r="3369" spans="1:4" x14ac:dyDescent="0.25">
      <c r="A3369" t="str">
        <f>T("   950490")</f>
        <v xml:space="preserve">   950490</v>
      </c>
      <c r="B3369" t="s">
        <v>510</v>
      </c>
      <c r="C3369">
        <v>320000</v>
      </c>
      <c r="D3369">
        <v>266</v>
      </c>
    </row>
    <row r="3370" spans="1:4" x14ac:dyDescent="0.25">
      <c r="A3370" t="str">
        <f>T("   950662")</f>
        <v xml:space="preserve">   950662</v>
      </c>
      <c r="B3370" t="str">
        <f>T("   Ballons et balles gonflables")</f>
        <v xml:space="preserve">   Ballons et balles gonflables</v>
      </c>
      <c r="C3370">
        <v>31486</v>
      </c>
      <c r="D3370">
        <v>45</v>
      </c>
    </row>
    <row r="3371" spans="1:4" x14ac:dyDescent="0.25">
      <c r="A3371" t="str">
        <f>T("   950669")</f>
        <v xml:space="preserve">   950669</v>
      </c>
      <c r="B3371" t="str">
        <f>T("   Ballons et balles (autres que gonflables et autres que balles de golf ou de tennis de table)")</f>
        <v xml:space="preserve">   Ballons et balles (autres que gonflables et autres que balles de golf ou de tennis de table)</v>
      </c>
      <c r="C3371">
        <v>20335</v>
      </c>
      <c r="D3371">
        <v>50</v>
      </c>
    </row>
    <row r="3372" spans="1:4" x14ac:dyDescent="0.25">
      <c r="A3372" t="str">
        <f>T("   950691")</f>
        <v xml:space="preserve">   950691</v>
      </c>
      <c r="B3372" t="str">
        <f>T("   Articles et matériel pour la culture physique, la gymnastique ou l'athlétisme")</f>
        <v xml:space="preserve">   Articles et matériel pour la culture physique, la gymnastique ou l'athlétisme</v>
      </c>
      <c r="C3372">
        <v>3676000</v>
      </c>
      <c r="D3372">
        <v>8000</v>
      </c>
    </row>
    <row r="3373" spans="1:4" x14ac:dyDescent="0.25">
      <c r="A3373" t="str">
        <f>T("   950699")</f>
        <v xml:space="preserve">   950699</v>
      </c>
      <c r="B3373" t="str">
        <f>T("   Articles et matériel pour le sport et les jeux de plein air, n.d.a.; piscines et pataugeoires")</f>
        <v xml:space="preserve">   Articles et matériel pour le sport et les jeux de plein air, n.d.a.; piscines et pataugeoires</v>
      </c>
      <c r="C3373">
        <v>1246324</v>
      </c>
      <c r="D3373">
        <v>1598</v>
      </c>
    </row>
    <row r="3374" spans="1:4" x14ac:dyDescent="0.25">
      <c r="A3374" t="str">
        <f>T("   960340")</f>
        <v xml:space="preserve">   960340</v>
      </c>
      <c r="B3374" t="str">
        <f>T("   Brosses et pinceaux à peindre, à badigeonner, à vernir ou simil., sauf pinceaux pour artistes et pinceaux simil. du n° 9603.30; tampons et rouleaux à peindre")</f>
        <v xml:space="preserve">   Brosses et pinceaux à peindre, à badigeonner, à vernir ou simil., sauf pinceaux pour artistes et pinceaux simil. du n° 9603.30; tampons et rouleaux à peindre</v>
      </c>
      <c r="C3374">
        <v>5248</v>
      </c>
      <c r="D3374">
        <v>1</v>
      </c>
    </row>
    <row r="3375" spans="1:4" x14ac:dyDescent="0.25">
      <c r="A3375" t="str">
        <f>T("   960810")</f>
        <v xml:space="preserve">   960810</v>
      </c>
      <c r="B3375" t="str">
        <f>T("   Stylos et crayons à bille")</f>
        <v xml:space="preserve">   Stylos et crayons à bille</v>
      </c>
      <c r="C3375">
        <v>453610</v>
      </c>
      <c r="D3375">
        <v>6.5</v>
      </c>
    </row>
    <row r="3376" spans="1:4" x14ac:dyDescent="0.25">
      <c r="A3376" t="str">
        <f>T("   960839")</f>
        <v xml:space="preserve">   960839</v>
      </c>
      <c r="B3376" t="str">
        <f>T("   Stylos à plume et autres stylos (autres qu'à dessiner à l'encre de Chine)")</f>
        <v xml:space="preserve">   Stylos à plume et autres stylos (autres qu'à dessiner à l'encre de Chine)</v>
      </c>
      <c r="C3376">
        <v>32798</v>
      </c>
      <c r="D3376">
        <v>2</v>
      </c>
    </row>
    <row r="3377" spans="1:4" x14ac:dyDescent="0.25">
      <c r="A3377" t="str">
        <f>T("   960990")</f>
        <v xml:space="preserve">   960990</v>
      </c>
      <c r="B3377" t="str">
        <f>T("   Crayons (sauf crayons à gaine), pastels, fusains, craies à écrire ou à dessiner et craies de tailleurs")</f>
        <v xml:space="preserve">   Crayons (sauf crayons à gaine), pastels, fusains, craies à écrire ou à dessiner et craies de tailleurs</v>
      </c>
      <c r="C3377">
        <v>10000</v>
      </c>
      <c r="D3377">
        <v>117</v>
      </c>
    </row>
    <row r="3378" spans="1:4" x14ac:dyDescent="0.25">
      <c r="A3378" t="str">
        <f>T("DJ")</f>
        <v>DJ</v>
      </c>
      <c r="B3378" t="str">
        <f>T("Djibouti")</f>
        <v>Djibouti</v>
      </c>
    </row>
    <row r="3379" spans="1:4" x14ac:dyDescent="0.25">
      <c r="A3379" t="str">
        <f>T("   ZZ_Total_Produit_SH6")</f>
        <v xml:space="preserve">   ZZ_Total_Produit_SH6</v>
      </c>
      <c r="B3379" t="str">
        <f>T("   ZZ_Total_Produit_SH6")</f>
        <v xml:space="preserve">   ZZ_Total_Produit_SH6</v>
      </c>
      <c r="C3379">
        <v>38398988</v>
      </c>
      <c r="D3379">
        <v>64674</v>
      </c>
    </row>
    <row r="3380" spans="1:4" x14ac:dyDescent="0.25">
      <c r="A3380" t="str">
        <f>T("   271019")</f>
        <v xml:space="preserve">   271019</v>
      </c>
      <c r="B3380" t="str">
        <f>T("   Huiles moyennes et préparations, de pétrole ou de minéraux bitumineux, n.d.a.")</f>
        <v xml:space="preserve">   Huiles moyennes et préparations, de pétrole ou de minéraux bitumineux, n.d.a.</v>
      </c>
      <c r="C3380">
        <v>34909092</v>
      </c>
      <c r="D3380">
        <v>61140</v>
      </c>
    </row>
    <row r="3381" spans="1:4" x14ac:dyDescent="0.25">
      <c r="A3381" t="str">
        <f>T("   300490")</f>
        <v xml:space="preserve">   300490</v>
      </c>
      <c r="B3381" t="s">
        <v>78</v>
      </c>
      <c r="C3381">
        <v>489896</v>
      </c>
      <c r="D3381">
        <v>124</v>
      </c>
    </row>
    <row r="3382" spans="1:4" x14ac:dyDescent="0.25">
      <c r="A3382" t="str">
        <f>T("   620590")</f>
        <v xml:space="preserve">   620590</v>
      </c>
      <c r="B3382"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3382">
        <v>850000</v>
      </c>
      <c r="D3382">
        <v>500</v>
      </c>
    </row>
    <row r="3383" spans="1:4" x14ac:dyDescent="0.25">
      <c r="A3383" t="str">
        <f>T("   732394")</f>
        <v xml:space="preserve">   732394</v>
      </c>
      <c r="B3383" t="s">
        <v>361</v>
      </c>
      <c r="C3383">
        <v>550000</v>
      </c>
      <c r="D3383">
        <v>410</v>
      </c>
    </row>
    <row r="3384" spans="1:4" x14ac:dyDescent="0.25">
      <c r="A3384" t="str">
        <f>T("   940350")</f>
        <v xml:space="preserve">   940350</v>
      </c>
      <c r="B3384" t="str">
        <f>T("   Meubles pour chambres à coucher, en bois (sauf sièges)")</f>
        <v xml:space="preserve">   Meubles pour chambres à coucher, en bois (sauf sièges)</v>
      </c>
      <c r="C3384">
        <v>1600000</v>
      </c>
      <c r="D3384">
        <v>2500</v>
      </c>
    </row>
    <row r="3385" spans="1:4" x14ac:dyDescent="0.25">
      <c r="A3385" t="str">
        <f>T("DK")</f>
        <v>DK</v>
      </c>
      <c r="B3385" t="str">
        <f>T("Danemark")</f>
        <v>Danemark</v>
      </c>
    </row>
    <row r="3386" spans="1:4" x14ac:dyDescent="0.25">
      <c r="A3386" t="str">
        <f>T("   ZZ_Total_Produit_SH6")</f>
        <v xml:space="preserve">   ZZ_Total_Produit_SH6</v>
      </c>
      <c r="B3386" t="str">
        <f>T("   ZZ_Total_Produit_SH6")</f>
        <v xml:space="preserve">   ZZ_Total_Produit_SH6</v>
      </c>
      <c r="C3386">
        <v>6910435715</v>
      </c>
      <c r="D3386">
        <v>6003820</v>
      </c>
    </row>
    <row r="3387" spans="1:4" x14ac:dyDescent="0.25">
      <c r="A3387" t="str">
        <f>T("   020712")</f>
        <v xml:space="preserve">   020712</v>
      </c>
      <c r="B3387" t="str">
        <f>T("   COQS ET POULES [DES ESPÈCES DOMESTIQUES], NON-DÉCOUPÉS EN MORCEAUX, CONGELÉS")</f>
        <v xml:space="preserve">   COQS ET POULES [DES ESPÈCES DOMESTIQUES], NON-DÉCOUPÉS EN MORCEAUX, CONGELÉS</v>
      </c>
      <c r="C3387">
        <v>431301814</v>
      </c>
      <c r="D3387">
        <v>692856</v>
      </c>
    </row>
    <row r="3388" spans="1:4" x14ac:dyDescent="0.25">
      <c r="A3388" t="str">
        <f>T("   020714")</f>
        <v xml:space="preserve">   020714</v>
      </c>
      <c r="B3388" t="str">
        <f>T("   Morceaux et abats comestibles de coqs et de poules [des espèces domestiques], congelés")</f>
        <v xml:space="preserve">   Morceaux et abats comestibles de coqs et de poules [des espèces domestiques], congelés</v>
      </c>
      <c r="C3388">
        <v>1454782083</v>
      </c>
      <c r="D3388">
        <v>2358037</v>
      </c>
    </row>
    <row r="3389" spans="1:4" x14ac:dyDescent="0.25">
      <c r="A3389" t="str">
        <f>T("   020727")</f>
        <v xml:space="preserve">   020727</v>
      </c>
      <c r="B3389" t="str">
        <f>T("   Morceaux et abats comestibles de dindes et dindons [des espèces domestiques], congelés")</f>
        <v xml:space="preserve">   Morceaux et abats comestibles de dindes et dindons [des espèces domestiques], congelés</v>
      </c>
      <c r="C3389">
        <v>992746502</v>
      </c>
      <c r="D3389">
        <v>1590157</v>
      </c>
    </row>
    <row r="3390" spans="1:4" x14ac:dyDescent="0.25">
      <c r="A3390" t="str">
        <f>T("   050400")</f>
        <v xml:space="preserve">   050400</v>
      </c>
      <c r="B3390" t="str">
        <f>T("   Boyaux, vessies et estomacs d'animaux (autres que ceux de poissons), entiers ou en morceaux, à l'état frais, réfrigéré, congelé, salé ou en saumure, séché ou fumé")</f>
        <v xml:space="preserve">   Boyaux, vessies et estomacs d'animaux (autres que ceux de poissons), entiers ou en morceaux, à l'état frais, réfrigéré, congelé, salé ou en saumure, séché ou fumé</v>
      </c>
      <c r="C3390">
        <v>77642892</v>
      </c>
      <c r="D3390">
        <v>68590</v>
      </c>
    </row>
    <row r="3391" spans="1:4" x14ac:dyDescent="0.25">
      <c r="A3391" t="str">
        <f>T("   160100")</f>
        <v xml:space="preserve">   160100</v>
      </c>
      <c r="B3391" t="str">
        <f>T("   Saucisses, saucissons et produits simil., de viande, d'abats ou de sang; préparations alimentaires à base de ces produits")</f>
        <v xml:space="preserve">   Saucisses, saucissons et produits simil., de viande, d'abats ou de sang; préparations alimentaires à base de ces produits</v>
      </c>
      <c r="C3391">
        <v>111841564</v>
      </c>
      <c r="D3391">
        <v>165010</v>
      </c>
    </row>
    <row r="3392" spans="1:4" x14ac:dyDescent="0.25">
      <c r="A3392" t="str">
        <f>T("   190531")</f>
        <v xml:space="preserve">   190531</v>
      </c>
      <c r="B3392" t="str">
        <f>T("   Biscuits additionnés d'édulcorants")</f>
        <v xml:space="preserve">   Biscuits additionnés d'édulcorants</v>
      </c>
      <c r="C3392">
        <v>5179935</v>
      </c>
      <c r="D3392">
        <v>2285</v>
      </c>
    </row>
    <row r="3393" spans="1:4" x14ac:dyDescent="0.25">
      <c r="A3393" t="str">
        <f>T("   220290")</f>
        <v xml:space="preserve">   220290</v>
      </c>
      <c r="B3393" t="str">
        <f>T("   BOISSONS NON-ALCOOLIQUES (À L'EXCL. DES EAUX, DES JUS DE FRUITS OU DE LÉGUMES AINSI QUE DU LAIT)")</f>
        <v xml:space="preserve">   BOISSONS NON-ALCOOLIQUES (À L'EXCL. DES EAUX, DES JUS DE FRUITS OU DE LÉGUMES AINSI QUE DU LAIT)</v>
      </c>
      <c r="C3393">
        <v>11420429</v>
      </c>
      <c r="D3393">
        <v>60869</v>
      </c>
    </row>
    <row r="3394" spans="1:4" x14ac:dyDescent="0.25">
      <c r="A3394" t="str">
        <f>T("   220300")</f>
        <v xml:space="preserve">   220300</v>
      </c>
      <c r="B3394" t="str">
        <f>T("   Bières de malt")</f>
        <v xml:space="preserve">   Bières de malt</v>
      </c>
      <c r="C3394">
        <v>27598794</v>
      </c>
      <c r="D3394">
        <v>107379</v>
      </c>
    </row>
    <row r="3395" spans="1:4" x14ac:dyDescent="0.25">
      <c r="A3395" t="str">
        <f>T("   220600")</f>
        <v xml:space="preserve">   220600</v>
      </c>
      <c r="B3395" t="s">
        <v>57</v>
      </c>
      <c r="C3395">
        <v>9000000</v>
      </c>
      <c r="D3395">
        <v>19368</v>
      </c>
    </row>
    <row r="3396" spans="1:4" x14ac:dyDescent="0.25">
      <c r="A3396" t="str">
        <f>T("   300220")</f>
        <v xml:space="preserve">   300220</v>
      </c>
      <c r="B3396" t="str">
        <f>T("   Vaccins pour la médecine humaine")</f>
        <v xml:space="preserve">   Vaccins pour la médecine humaine</v>
      </c>
      <c r="C3396">
        <v>130594320</v>
      </c>
      <c r="D3396">
        <v>1169</v>
      </c>
    </row>
    <row r="3397" spans="1:4" x14ac:dyDescent="0.25">
      <c r="A3397" t="str">
        <f>T("   350790")</f>
        <v xml:space="preserve">   350790</v>
      </c>
      <c r="B3397" t="str">
        <f>T("   Enzymes et enzymes préparées, n.d.a. (à l'excl. de la présure et de ses concentrats)")</f>
        <v xml:space="preserve">   Enzymes et enzymes préparées, n.d.a. (à l'excl. de la présure et de ses concentrats)</v>
      </c>
      <c r="C3397">
        <v>533383</v>
      </c>
      <c r="D3397">
        <v>26</v>
      </c>
    </row>
    <row r="3398" spans="1:4" x14ac:dyDescent="0.25">
      <c r="A3398" t="str">
        <f>T("   380890")</f>
        <v xml:space="preserve">   380890</v>
      </c>
      <c r="B3398" t="str">
        <f>T("   Antirongeurs et autres produits phytosanitaires, présentés dans des formes ou emballages de vente au détail ou à l'état de préparations ou sous forme d'articles (à l'excl. des insecticides, des fongicides, des herbicides et des désinfectants)")</f>
        <v xml:space="preserve">   Antirongeurs et autres produits phytosanitaires, présentés dans des formes ou emballages de vente au détail ou à l'état de préparations ou sous forme d'articles (à l'excl. des insecticides, des fongicides, des herbicides et des désinfectants)</v>
      </c>
      <c r="C3398">
        <v>2671069</v>
      </c>
      <c r="D3398">
        <v>287</v>
      </c>
    </row>
    <row r="3399" spans="1:4" x14ac:dyDescent="0.25">
      <c r="A3399" t="str">
        <f>T("   401220")</f>
        <v xml:space="preserve">   401220</v>
      </c>
      <c r="B3399" t="str">
        <f>T("   Pneumatiques usagés, en caoutchouc")</f>
        <v xml:space="preserve">   Pneumatiques usagés, en caoutchouc</v>
      </c>
      <c r="C3399">
        <v>7298867</v>
      </c>
      <c r="D3399">
        <v>10872</v>
      </c>
    </row>
    <row r="3400" spans="1:4" x14ac:dyDescent="0.25">
      <c r="A3400" t="str">
        <f>T("   401693")</f>
        <v xml:space="preserve">   401693</v>
      </c>
      <c r="B3400" t="str">
        <f>T("   Joints en caoutchouc vulcanisé non durci (à l'excl. des articles en caoutchouc alvéolaire)")</f>
        <v xml:space="preserve">   Joints en caoutchouc vulcanisé non durci (à l'excl. des articles en caoutchouc alvéolaire)</v>
      </c>
      <c r="C3400">
        <v>2144989</v>
      </c>
      <c r="D3400">
        <v>115</v>
      </c>
    </row>
    <row r="3401" spans="1:4" x14ac:dyDescent="0.25">
      <c r="A3401" t="str">
        <f>T("   401699")</f>
        <v xml:space="preserve">   401699</v>
      </c>
      <c r="B3401" t="str">
        <f>T("   OUVRAGES EN CAOUTCHOUC VULCANISÉ NON-DURCI, N.D.A.")</f>
        <v xml:space="preserve">   OUVRAGES EN CAOUTCHOUC VULCANISÉ NON-DURCI, N.D.A.</v>
      </c>
      <c r="C3401">
        <v>154807</v>
      </c>
      <c r="D3401">
        <v>15</v>
      </c>
    </row>
    <row r="3402" spans="1:4" x14ac:dyDescent="0.25">
      <c r="A3402" t="str">
        <f>T("   420329")</f>
        <v xml:space="preserve">   420329</v>
      </c>
      <c r="B3402" t="str">
        <f>T("   Gants, mitaines et moufles, en cuir naturel ou reconstitué (à l'excl. des articles spécialement conçus pour la pratique des sports)")</f>
        <v xml:space="preserve">   Gants, mitaines et moufles, en cuir naturel ou reconstitué (à l'excl. des articles spécialement conçus pour la pratique des sports)</v>
      </c>
      <c r="C3402">
        <v>239261</v>
      </c>
      <c r="D3402">
        <v>26</v>
      </c>
    </row>
    <row r="3403" spans="1:4" x14ac:dyDescent="0.25">
      <c r="A3403" t="str">
        <f>T("   490199")</f>
        <v xml:space="preserve">   490199</v>
      </c>
      <c r="B3403"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3403">
        <v>1683505</v>
      </c>
      <c r="D3403">
        <v>235</v>
      </c>
    </row>
    <row r="3404" spans="1:4" x14ac:dyDescent="0.25">
      <c r="A3404" t="str">
        <f>T("   490290")</f>
        <v xml:space="preserve">   490290</v>
      </c>
      <c r="B3404" t="str">
        <f>T("   Journaux et publications périodiques imprimés, même illustrés ou contenant de la publicité (à l'excl. des journaux et publications paraissant au moins quatre fois par semaine)")</f>
        <v xml:space="preserve">   Journaux et publications périodiques imprimés, même illustrés ou contenant de la publicité (à l'excl. des journaux et publications paraissant au moins quatre fois par semaine)</v>
      </c>
      <c r="C3404">
        <v>2280652</v>
      </c>
      <c r="D3404">
        <v>193</v>
      </c>
    </row>
    <row r="3405" spans="1:4" x14ac:dyDescent="0.25">
      <c r="A3405" t="str">
        <f>T("   491000")</f>
        <v xml:space="preserve">   491000</v>
      </c>
      <c r="B3405" t="str">
        <f>T("   Calendriers de tous genres, imprimés, y.c. les blocs de calendriers à effeuiller")</f>
        <v xml:space="preserve">   Calendriers de tous genres, imprimés, y.c. les blocs de calendriers à effeuiller</v>
      </c>
      <c r="C3405">
        <v>1503187</v>
      </c>
      <c r="D3405">
        <v>715</v>
      </c>
    </row>
    <row r="3406" spans="1:4" x14ac:dyDescent="0.25">
      <c r="A3406" t="str">
        <f>T("   491110")</f>
        <v xml:space="preserve">   491110</v>
      </c>
      <c r="B3406" t="str">
        <f>T("   Imprimés publicitaires, catalogues commerciaux et simil.")</f>
        <v xml:space="preserve">   Imprimés publicitaires, catalogues commerciaux et simil.</v>
      </c>
      <c r="C3406">
        <v>1017423</v>
      </c>
      <c r="D3406">
        <v>855</v>
      </c>
    </row>
    <row r="3407" spans="1:4" x14ac:dyDescent="0.25">
      <c r="A3407" t="str">
        <f>T("   491199")</f>
        <v xml:space="preserve">   491199</v>
      </c>
      <c r="B3407" t="str">
        <f>T("   Imprimés, n.d.a.")</f>
        <v xml:space="preserve">   Imprimés, n.d.a.</v>
      </c>
      <c r="C3407">
        <v>1087050</v>
      </c>
      <c r="D3407">
        <v>300</v>
      </c>
    </row>
    <row r="3408" spans="1:4" x14ac:dyDescent="0.25">
      <c r="A3408" t="str">
        <f>T("   591190")</f>
        <v xml:space="preserve">   591190</v>
      </c>
      <c r="B3408" t="str">
        <f>T("   Produits et articles textiles pour usages techniques, en matières textiles, visés à la note 7 du présent chapitre, n.d.a.")</f>
        <v xml:space="preserve">   Produits et articles textiles pour usages techniques, en matières textiles, visés à la note 7 du présent chapitre, n.d.a.</v>
      </c>
      <c r="C3408">
        <v>5741618</v>
      </c>
      <c r="D3408">
        <v>191</v>
      </c>
    </row>
    <row r="3409" spans="1:4" x14ac:dyDescent="0.25">
      <c r="A3409" t="str">
        <f>T("   611610")</f>
        <v xml:space="preserve">   611610</v>
      </c>
      <c r="B3409" t="str">
        <f>T("   Gants, mitaines et moufles, en bonneterie, imprégnés, enduits ou recouverts de matières plastiques ou de caoutchouc (sauf pour bébés)")</f>
        <v xml:space="preserve">   Gants, mitaines et moufles, en bonneterie, imprégnés, enduits ou recouverts de matières plastiques ou de caoutchouc (sauf pour bébés)</v>
      </c>
      <c r="C3409">
        <v>4199358</v>
      </c>
      <c r="D3409">
        <v>460</v>
      </c>
    </row>
    <row r="3410" spans="1:4" x14ac:dyDescent="0.25">
      <c r="A3410" t="str">
        <f>T("   620319")</f>
        <v xml:space="preserve">   620319</v>
      </c>
      <c r="B3410" t="s">
        <v>267</v>
      </c>
      <c r="C3410">
        <v>70000</v>
      </c>
      <c r="D3410">
        <v>100</v>
      </c>
    </row>
    <row r="3411" spans="1:4" x14ac:dyDescent="0.25">
      <c r="A3411" t="str">
        <f>T("   620590")</f>
        <v xml:space="preserve">   620590</v>
      </c>
      <c r="B3411"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3411">
        <v>7068513</v>
      </c>
      <c r="D3411">
        <v>5700</v>
      </c>
    </row>
    <row r="3412" spans="1:4" x14ac:dyDescent="0.25">
      <c r="A3412" t="str">
        <f>T("   630539")</f>
        <v xml:space="preserve">   630539</v>
      </c>
      <c r="B3412" t="str">
        <f>T("   Sacs et sachets d'emballage de matières synthétiques ou artificielles (autres qu'en lames ou formes simil. de polyéthylène ou de polypropylène ainsi que contenants souples pour matières en vrac)")</f>
        <v xml:space="preserve">   Sacs et sachets d'emballage de matières synthétiques ou artificielles (autres qu'en lames ou formes simil. de polyéthylène ou de polypropylène ainsi que contenants souples pour matières en vrac)</v>
      </c>
      <c r="C3412">
        <v>152000</v>
      </c>
      <c r="D3412">
        <v>126</v>
      </c>
    </row>
    <row r="3413" spans="1:4" x14ac:dyDescent="0.25">
      <c r="A3413" t="str">
        <f>T("   630900")</f>
        <v xml:space="preserve">   630900</v>
      </c>
      <c r="B3413" t="s">
        <v>280</v>
      </c>
      <c r="C3413">
        <v>12100000</v>
      </c>
      <c r="D3413">
        <v>22000</v>
      </c>
    </row>
    <row r="3414" spans="1:4" x14ac:dyDescent="0.25">
      <c r="A3414" t="str">
        <f>T("   640219")</f>
        <v xml:space="preserve">   640219</v>
      </c>
      <c r="B3414" t="s">
        <v>283</v>
      </c>
      <c r="C3414">
        <v>720000</v>
      </c>
      <c r="D3414">
        <v>800</v>
      </c>
    </row>
    <row r="3415" spans="1:4" x14ac:dyDescent="0.25">
      <c r="A3415" t="str">
        <f>T("   640340")</f>
        <v xml:space="preserve">   640340</v>
      </c>
      <c r="B3415" t="str">
        <f>T("   Chaussures, à semelles extérieures en caoutchouc, matière plastique, cuir naturel ou reconstitué et dessus en cuir naturel, comportant à l'avant une coquille de protection en métal (sauf chaussures de sport ou d'orthopédie)")</f>
        <v xml:space="preserve">   Chaussures, à semelles extérieures en caoutchouc, matière plastique, cuir naturel ou reconstitué et dessus en cuir naturel, comportant à l'avant une coquille de protection en métal (sauf chaussures de sport ou d'orthopédie)</v>
      </c>
      <c r="C3415">
        <v>6370946</v>
      </c>
      <c r="D3415">
        <v>697</v>
      </c>
    </row>
    <row r="3416" spans="1:4" x14ac:dyDescent="0.25">
      <c r="A3416" t="str">
        <f>T("   650610")</f>
        <v xml:space="preserve">   650610</v>
      </c>
      <c r="B3416" t="str">
        <f>T("   Coiffures de sécurité, même garnies")</f>
        <v xml:space="preserve">   Coiffures de sécurité, même garnies</v>
      </c>
      <c r="C3416">
        <v>4118268</v>
      </c>
      <c r="D3416">
        <v>451</v>
      </c>
    </row>
    <row r="3417" spans="1:4" x14ac:dyDescent="0.25">
      <c r="A3417" t="str">
        <f>T("   681390")</f>
        <v xml:space="preserve">   681390</v>
      </c>
      <c r="B3417" t="s">
        <v>304</v>
      </c>
      <c r="C3417">
        <v>2439515</v>
      </c>
      <c r="D3417">
        <v>17</v>
      </c>
    </row>
    <row r="3418" spans="1:4" x14ac:dyDescent="0.25">
      <c r="A3418" t="str">
        <f>T("   730791")</f>
        <v xml:space="preserve">   730791</v>
      </c>
      <c r="B3418" t="str">
        <f>T("   Brides en fer ou aciers (autres que moulés ou en acier inoxydable)")</f>
        <v xml:space="preserve">   Brides en fer ou aciers (autres que moulés ou en acier inoxydable)</v>
      </c>
      <c r="C3418">
        <v>1256819</v>
      </c>
      <c r="D3418">
        <v>25</v>
      </c>
    </row>
    <row r="3419" spans="1:4" x14ac:dyDescent="0.25">
      <c r="A3419" t="str">
        <f>T("   730900")</f>
        <v xml:space="preserve">   730900</v>
      </c>
      <c r="B3419" t="s">
        <v>350</v>
      </c>
      <c r="C3419">
        <v>88128</v>
      </c>
      <c r="D3419">
        <v>16</v>
      </c>
    </row>
    <row r="3420" spans="1:4" x14ac:dyDescent="0.25">
      <c r="A3420" t="str">
        <f>T("   731029")</f>
        <v xml:space="preserve">   731029</v>
      </c>
      <c r="B3420" t="str">
        <f>T("   Réservoirs, fûts, tambours, bidons et récipients simil., en fer ou en acier, pour toutes matières, contenance &lt; 50 l, n.d.a. (sauf pour gaz comprimés ou liquéfiés, sans dispositifs mécaniques ou thermiques et à l'excl. des boîtes)")</f>
        <v xml:space="preserve">   Réservoirs, fûts, tambours, bidons et récipients simil., en fer ou en acier, pour toutes matières, contenance &lt; 50 l, n.d.a. (sauf pour gaz comprimés ou liquéfiés, sans dispositifs mécaniques ou thermiques et à l'excl. des boîtes)</v>
      </c>
      <c r="C3420">
        <v>633001</v>
      </c>
      <c r="D3420">
        <v>9</v>
      </c>
    </row>
    <row r="3421" spans="1:4" x14ac:dyDescent="0.25">
      <c r="A3421" t="str">
        <f>T("   731590")</f>
        <v xml:space="preserve">   731590</v>
      </c>
      <c r="B3421" t="str">
        <f>T("   Parties de chaînes et chaînettes antidérapantes, à maillons à étais, et autres chaînes et chaînettes du n° 7315 (sauf de chaînes à maillons articulés)")</f>
        <v xml:space="preserve">   Parties de chaînes et chaînettes antidérapantes, à maillons à étais, et autres chaînes et chaînettes du n° 7315 (sauf de chaînes à maillons articulés)</v>
      </c>
      <c r="C3421">
        <v>3978398</v>
      </c>
      <c r="D3421">
        <v>386</v>
      </c>
    </row>
    <row r="3422" spans="1:4" x14ac:dyDescent="0.25">
      <c r="A3422" t="str">
        <f>T("   731815")</f>
        <v xml:space="preserve">   731815</v>
      </c>
      <c r="B3422" t="s">
        <v>354</v>
      </c>
      <c r="C3422">
        <v>4708481</v>
      </c>
      <c r="D3422">
        <v>297</v>
      </c>
    </row>
    <row r="3423" spans="1:4" x14ac:dyDescent="0.25">
      <c r="A3423" t="str">
        <f>T("   731824")</f>
        <v xml:space="preserve">   731824</v>
      </c>
      <c r="B3423" t="str">
        <f>T("   Goupilles, chevilles et clavettes en fonte, fer ou acier")</f>
        <v xml:space="preserve">   Goupilles, chevilles et clavettes en fonte, fer ou acier</v>
      </c>
      <c r="C3423">
        <v>5248</v>
      </c>
      <c r="D3423">
        <v>1</v>
      </c>
    </row>
    <row r="3424" spans="1:4" x14ac:dyDescent="0.25">
      <c r="A3424" t="str">
        <f>T("   732090")</f>
        <v xml:space="preserve">   732090</v>
      </c>
      <c r="B3424" t="s">
        <v>355</v>
      </c>
      <c r="C3424">
        <v>1994774</v>
      </c>
      <c r="D3424">
        <v>39</v>
      </c>
    </row>
    <row r="3425" spans="1:4" x14ac:dyDescent="0.25">
      <c r="A3425" t="str">
        <f>T("   732394")</f>
        <v xml:space="preserve">   732394</v>
      </c>
      <c r="B3425" t="s">
        <v>361</v>
      </c>
      <c r="C3425">
        <v>2623001</v>
      </c>
      <c r="D3425">
        <v>925</v>
      </c>
    </row>
    <row r="3426" spans="1:4" x14ac:dyDescent="0.25">
      <c r="A3426" t="str">
        <f>T("   741999")</f>
        <v xml:space="preserve">   741999</v>
      </c>
      <c r="B3426" t="str">
        <f>T("   Ouvrages en cuivre, n.d.a.")</f>
        <v xml:space="preserve">   Ouvrages en cuivre, n.d.a.</v>
      </c>
      <c r="C3426">
        <v>4355574</v>
      </c>
      <c r="D3426">
        <v>20</v>
      </c>
    </row>
    <row r="3427" spans="1:4" x14ac:dyDescent="0.25">
      <c r="A3427" t="str">
        <f>T("   821599")</f>
        <v xml:space="preserve">   821599</v>
      </c>
      <c r="B3427" t="s">
        <v>374</v>
      </c>
      <c r="C3427">
        <v>5157054</v>
      </c>
      <c r="D3427">
        <v>4200</v>
      </c>
    </row>
    <row r="3428" spans="1:4" x14ac:dyDescent="0.25">
      <c r="A3428" t="str">
        <f>T("   841381")</f>
        <v xml:space="preserve">   841381</v>
      </c>
      <c r="B3428" t="s">
        <v>393</v>
      </c>
      <c r="C3428">
        <v>887514</v>
      </c>
      <c r="D3428">
        <v>120</v>
      </c>
    </row>
    <row r="3429" spans="1:4" x14ac:dyDescent="0.25">
      <c r="A3429" t="str">
        <f>T("   841440")</f>
        <v xml:space="preserve">   841440</v>
      </c>
      <c r="B3429" t="str">
        <f>T("   Compresseurs d'air montés sur châssis à roues et remorquables")</f>
        <v xml:space="preserve">   Compresseurs d'air montés sur châssis à roues et remorquables</v>
      </c>
      <c r="C3429">
        <v>51165</v>
      </c>
      <c r="D3429">
        <v>87</v>
      </c>
    </row>
    <row r="3430" spans="1:4" x14ac:dyDescent="0.25">
      <c r="A3430" t="str">
        <f>T("   841829")</f>
        <v xml:space="preserve">   841829</v>
      </c>
      <c r="B3430" t="str">
        <f>T("   Réfrigérateurs ménagers à absorption, non-électriques")</f>
        <v xml:space="preserve">   Réfrigérateurs ménagers à absorption, non-électriques</v>
      </c>
      <c r="C3430">
        <v>75435</v>
      </c>
      <c r="D3430">
        <v>260</v>
      </c>
    </row>
    <row r="3431" spans="1:4" x14ac:dyDescent="0.25">
      <c r="A3431" t="str">
        <f>T("   841830")</f>
        <v xml:space="preserve">   841830</v>
      </c>
      <c r="B3431" t="str">
        <f>T("   Meubles congélateurs-conservateurs du type coffre, capacité &lt;= 800 l")</f>
        <v xml:space="preserve">   Meubles congélateurs-conservateurs du type coffre, capacité &lt;= 800 l</v>
      </c>
      <c r="C3431">
        <v>1099402</v>
      </c>
      <c r="D3431">
        <v>200</v>
      </c>
    </row>
    <row r="3432" spans="1:4" x14ac:dyDescent="0.25">
      <c r="A3432" t="str">
        <f>T("   841899")</f>
        <v xml:space="preserve">   841899</v>
      </c>
      <c r="B3432" t="str">
        <f>T("   Parties de réfrigérateurs et de congélateurs-conservateurs du type armoire et du type coffre et d'autres matériel, machines et appareils pour la production du froid, parties de pompes à chaleur, n.d.a.")</f>
        <v xml:space="preserve">   Parties de réfrigérateurs et de congélateurs-conservateurs du type armoire et du type coffre et d'autres matériel, machines et appareils pour la production du froid, parties de pompes à chaleur, n.d.a.</v>
      </c>
      <c r="C3432">
        <v>31473</v>
      </c>
      <c r="D3432">
        <v>34</v>
      </c>
    </row>
    <row r="3433" spans="1:4" x14ac:dyDescent="0.25">
      <c r="A3433" t="str">
        <f>T("   842139")</f>
        <v xml:space="preserve">   842139</v>
      </c>
      <c r="B3433" t="str">
        <f>T("   Appareils pour la filtration ou l'épuration des gaz (autres que pour la séparation isotopique et sauf les filtres d'entrée d'air pour moteurs à allumage par étincelles ou par compression)")</f>
        <v xml:space="preserve">   Appareils pour la filtration ou l'épuration des gaz (autres que pour la séparation isotopique et sauf les filtres d'entrée d'air pour moteurs à allumage par étincelles ou par compression)</v>
      </c>
      <c r="C3433">
        <v>587740</v>
      </c>
      <c r="D3433">
        <v>3</v>
      </c>
    </row>
    <row r="3434" spans="1:4" x14ac:dyDescent="0.25">
      <c r="A3434" t="str">
        <f>T("   842199")</f>
        <v xml:space="preserve">   842199</v>
      </c>
      <c r="B3434" t="str">
        <f>T("   Parties d'appareils pour la filtration ou l'épuration des liquides ou des gaz, n.d.a.")</f>
        <v xml:space="preserve">   Parties d'appareils pour la filtration ou l'épuration des liquides ou des gaz, n.d.a.</v>
      </c>
      <c r="C3434">
        <v>4221503</v>
      </c>
      <c r="D3434">
        <v>125</v>
      </c>
    </row>
    <row r="3435" spans="1:4" x14ac:dyDescent="0.25">
      <c r="A3435" t="str">
        <f>T("   842290")</f>
        <v xml:space="preserve">   842290</v>
      </c>
      <c r="B3435" t="str">
        <f>T("   Parties des machines à laver la vaisselle, des machines à empaqueter ou à emballer les marchandises et autres machines et appareils du n° 8422, n.d.a.")</f>
        <v xml:space="preserve">   Parties des machines à laver la vaisselle, des machines à empaqueter ou à emballer les marchandises et autres machines et appareils du n° 8422, n.d.a.</v>
      </c>
      <c r="C3435">
        <v>4873783</v>
      </c>
      <c r="D3435">
        <v>43</v>
      </c>
    </row>
    <row r="3436" spans="1:4" x14ac:dyDescent="0.25">
      <c r="A3436" t="str">
        <f>T("   842620")</f>
        <v xml:space="preserve">   842620</v>
      </c>
      <c r="B3436" t="str">
        <f>T("   Grues à tour")</f>
        <v xml:space="preserve">   Grues à tour</v>
      </c>
      <c r="C3436">
        <v>2336624634</v>
      </c>
      <c r="D3436">
        <v>484822</v>
      </c>
    </row>
    <row r="3437" spans="1:4" x14ac:dyDescent="0.25">
      <c r="A3437" t="str">
        <f>T("   842790")</f>
        <v xml:space="preserve">   842790</v>
      </c>
      <c r="B3437" t="str">
        <f>T("   Chariots de manutention munis d'un dispositif de levage mais non autopropulsés")</f>
        <v xml:space="preserve">   Chariots de manutention munis d'un dispositif de levage mais non autopropulsés</v>
      </c>
      <c r="C3437">
        <v>821982570</v>
      </c>
      <c r="D3437">
        <v>285200</v>
      </c>
    </row>
    <row r="3438" spans="1:4" x14ac:dyDescent="0.25">
      <c r="A3438" t="str">
        <f>T("   843139")</f>
        <v xml:space="preserve">   843139</v>
      </c>
      <c r="B3438" t="str">
        <f>T("   Parties de machines et appareils du n° 8428, n.d.a.")</f>
        <v xml:space="preserve">   Parties de machines et appareils du n° 8428, n.d.a.</v>
      </c>
      <c r="C3438">
        <v>18214698</v>
      </c>
      <c r="D3438">
        <v>2110</v>
      </c>
    </row>
    <row r="3439" spans="1:4" x14ac:dyDescent="0.25">
      <c r="A3439" t="str">
        <f>T("   843149")</f>
        <v xml:space="preserve">   843149</v>
      </c>
      <c r="B3439" t="str">
        <f>T("   Parties de machines et appareils du n° 8426, 8429 ou 8430, n.d.a.")</f>
        <v xml:space="preserve">   Parties de machines et appareils du n° 8426, 8429 ou 8430, n.d.a.</v>
      </c>
      <c r="C3439">
        <v>5531054</v>
      </c>
      <c r="D3439">
        <v>340</v>
      </c>
    </row>
    <row r="3440" spans="1:4" x14ac:dyDescent="0.25">
      <c r="A3440" t="str">
        <f>T("   846591")</f>
        <v xml:space="preserve">   846591</v>
      </c>
      <c r="B3440" t="str">
        <f>T("   Machines à scier, pour le travail du bois, des matières plastiques dures, etc. (autres que pour emploi à la main)")</f>
        <v xml:space="preserve">   Machines à scier, pour le travail du bois, des matières plastiques dures, etc. (autres que pour emploi à la main)</v>
      </c>
      <c r="C3440">
        <v>360122</v>
      </c>
      <c r="D3440">
        <v>614</v>
      </c>
    </row>
    <row r="3441" spans="1:4" x14ac:dyDescent="0.25">
      <c r="A3441" t="str">
        <f>T("   847110")</f>
        <v xml:space="preserve">   847110</v>
      </c>
      <c r="B3441" t="str">
        <f>T("   Machines automatiques de traitement de l'information, analogiques ou hybrides")</f>
        <v xml:space="preserve">   Machines automatiques de traitement de l'information, analogiques ou hybrides</v>
      </c>
      <c r="C3441">
        <v>22849222</v>
      </c>
      <c r="D3441">
        <v>1737</v>
      </c>
    </row>
    <row r="3442" spans="1:4" x14ac:dyDescent="0.25">
      <c r="A3442" t="str">
        <f>T("   847190")</f>
        <v xml:space="preserve">   847190</v>
      </c>
      <c r="B3442"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3442">
        <v>9097185</v>
      </c>
      <c r="D3442">
        <v>23</v>
      </c>
    </row>
    <row r="3443" spans="1:4" x14ac:dyDescent="0.25">
      <c r="A3443" t="str">
        <f>T("   847330")</f>
        <v xml:space="preserve">   847330</v>
      </c>
      <c r="B3443" t="str">
        <f>T("   Parties et accessoires pour machines automatiques de traitement de l'information ou pour autres machines du n° 8471, n.d.a.")</f>
        <v xml:space="preserve">   Parties et accessoires pour machines automatiques de traitement de l'information ou pour autres machines du n° 8471, n.d.a.</v>
      </c>
      <c r="C3443">
        <v>27292236</v>
      </c>
      <c r="D3443">
        <v>258</v>
      </c>
    </row>
    <row r="3444" spans="1:4" x14ac:dyDescent="0.25">
      <c r="A3444" t="str">
        <f>T("   847340")</f>
        <v xml:space="preserve">   847340</v>
      </c>
      <c r="B3444" t="str">
        <f>T("   Parties et accessoires pour autres machines et appareils de bureau du n° 8472, n.d.a.")</f>
        <v xml:space="preserve">   Parties et accessoires pour autres machines et appareils de bureau du n° 8472, n.d.a.</v>
      </c>
      <c r="C3444">
        <v>268683</v>
      </c>
      <c r="D3444">
        <v>6</v>
      </c>
    </row>
    <row r="3445" spans="1:4" x14ac:dyDescent="0.25">
      <c r="A3445" t="str">
        <f>T("   847490")</f>
        <v xml:space="preserve">   847490</v>
      </c>
      <c r="B3445" t="str">
        <f>T("   Parties des machines et appareils pour le travail des matières minérales du n° 8474, n.d.a.")</f>
        <v xml:space="preserve">   Parties des machines et appareils pour le travail des matières minérales du n° 8474, n.d.a.</v>
      </c>
      <c r="C3445">
        <v>12690204</v>
      </c>
      <c r="D3445">
        <v>287</v>
      </c>
    </row>
    <row r="3446" spans="1:4" x14ac:dyDescent="0.25">
      <c r="A3446" t="str">
        <f>T("   847790")</f>
        <v xml:space="preserve">   847790</v>
      </c>
      <c r="B3446" t="str">
        <f>T("   Parties des machines et appareils pour le travail du caoutchouc ou des matières plastiques ou pour la fabrication de produits en ces matières, n.d.a.")</f>
        <v xml:space="preserve">   Parties des machines et appareils pour le travail du caoutchouc ou des matières plastiques ou pour la fabrication de produits en ces matières, n.d.a.</v>
      </c>
      <c r="C3446">
        <v>374065</v>
      </c>
      <c r="D3446">
        <v>7</v>
      </c>
    </row>
    <row r="3447" spans="1:4" x14ac:dyDescent="0.25">
      <c r="A3447" t="str">
        <f>T("   848140")</f>
        <v xml:space="preserve">   848140</v>
      </c>
      <c r="B3447" t="str">
        <f>T("   Soupapes de trop-plein ou de sûreté")</f>
        <v xml:space="preserve">   Soupapes de trop-plein ou de sûreté</v>
      </c>
      <c r="C3447">
        <v>11957495</v>
      </c>
      <c r="D3447">
        <v>214</v>
      </c>
    </row>
    <row r="3448" spans="1:4" x14ac:dyDescent="0.25">
      <c r="A3448" t="str">
        <f>T("   848310")</f>
        <v xml:space="preserve">   848310</v>
      </c>
      <c r="B3448" t="str">
        <f>T("   Arbres de transmission pour machines, y.c. -les arbres à cames et les vilebrequins- et manivelles")</f>
        <v xml:space="preserve">   Arbres de transmission pour machines, y.c. -les arbres à cames et les vilebrequins- et manivelles</v>
      </c>
      <c r="C3448">
        <v>4320153</v>
      </c>
      <c r="D3448">
        <v>419</v>
      </c>
    </row>
    <row r="3449" spans="1:4" x14ac:dyDescent="0.25">
      <c r="A3449" t="str">
        <f>T("   848320")</f>
        <v xml:space="preserve">   848320</v>
      </c>
      <c r="B3449" t="str">
        <f>T("   Paliers à roulements incorporés, pour machines")</f>
        <v xml:space="preserve">   Paliers à roulements incorporés, pour machines</v>
      </c>
      <c r="C3449">
        <v>1555281</v>
      </c>
      <c r="D3449">
        <v>29</v>
      </c>
    </row>
    <row r="3450" spans="1:4" x14ac:dyDescent="0.25">
      <c r="A3450" t="str">
        <f>T("   848330")</f>
        <v xml:space="preserve">   848330</v>
      </c>
      <c r="B3450" t="str">
        <f>T("   Paliers pour machines, sans roulements incorporés; coussinets et coquilles de coussinets pour machines")</f>
        <v xml:space="preserve">   Paliers pour machines, sans roulements incorporés; coussinets et coquilles de coussinets pour machines</v>
      </c>
      <c r="C3450">
        <v>5491697</v>
      </c>
      <c r="D3450">
        <v>70</v>
      </c>
    </row>
    <row r="3451" spans="1:4" x14ac:dyDescent="0.25">
      <c r="A3451" t="str">
        <f>T("   848360")</f>
        <v xml:space="preserve">   848360</v>
      </c>
      <c r="B3451" t="str">
        <f>T("   Embrayages et organes d'accouplement, y.c. les joints d'articulation, pour machines")</f>
        <v xml:space="preserve">   Embrayages et organes d'accouplement, y.c. les joints d'articulation, pour machines</v>
      </c>
      <c r="C3451">
        <v>1973784</v>
      </c>
      <c r="D3451">
        <v>5</v>
      </c>
    </row>
    <row r="3452" spans="1:4" x14ac:dyDescent="0.25">
      <c r="A3452" t="str">
        <f>T("   848390")</f>
        <v xml:space="preserve">   848390</v>
      </c>
      <c r="B3452" t="str">
        <f>T("   Roues dentées et autres organes élémentaires de transmission présentés séparément; parties d'organes mécaniques, d'organes de transmission, d'engrenages, de variateurs de vitesses, d'organes d'accouplement et d'autres organes du n° 8483, n.d.a.")</f>
        <v xml:space="preserve">   Roues dentées et autres organes élémentaires de transmission présentés séparément; parties d'organes mécaniques, d'organes de transmission, d'engrenages, de variateurs de vitesses, d'organes d'accouplement et d'autres organes du n° 8483, n.d.a.</v>
      </c>
      <c r="C3452">
        <v>1467383</v>
      </c>
      <c r="D3452">
        <v>142</v>
      </c>
    </row>
    <row r="3453" spans="1:4" x14ac:dyDescent="0.25">
      <c r="A3453" t="str">
        <f>T("   850910")</f>
        <v xml:space="preserve">   850910</v>
      </c>
      <c r="B3453" t="str">
        <f>T("   Aspirateurs de poussières, y.c. les aspirateurs de matières sèches et de matières liquides, à moteur électrique incorporé, à usage domestique")</f>
        <v xml:space="preserve">   Aspirateurs de poussières, y.c. les aspirateurs de matières sèches et de matières liquides, à moteur électrique incorporé, à usage domestique</v>
      </c>
      <c r="C3453">
        <v>1020018</v>
      </c>
      <c r="D3453">
        <v>65</v>
      </c>
    </row>
    <row r="3454" spans="1:4" x14ac:dyDescent="0.25">
      <c r="A3454" t="str">
        <f>T("   852090")</f>
        <v xml:space="preserve">   852090</v>
      </c>
      <c r="B3454" t="str">
        <f>T("   Appareils d'enregistrement du son, incorporant également un dispositif de reproduction du son (autres qu'appareils d'enregistrement et de reproduction du son utilisant des bandes magnétiques sur bobines)")</f>
        <v xml:space="preserve">   Appareils d'enregistrement du son, incorporant également un dispositif de reproduction du son (autres qu'appareils d'enregistrement et de reproduction du son utilisant des bandes magnétiques sur bobines)</v>
      </c>
      <c r="C3454">
        <v>3386608</v>
      </c>
      <c r="D3454">
        <v>56</v>
      </c>
    </row>
    <row r="3455" spans="1:4" x14ac:dyDescent="0.25">
      <c r="A3455" t="str">
        <f>T("   852812")</f>
        <v xml:space="preserve">   852812</v>
      </c>
      <c r="B3455"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3455">
        <v>100362</v>
      </c>
      <c r="D3455">
        <v>167</v>
      </c>
    </row>
    <row r="3456" spans="1:4" x14ac:dyDescent="0.25">
      <c r="A3456" t="str">
        <f>T("   853890")</f>
        <v xml:space="preserve">   853890</v>
      </c>
      <c r="B3456" t="s">
        <v>470</v>
      </c>
      <c r="C3456">
        <v>2793734</v>
      </c>
      <c r="D3456">
        <v>94</v>
      </c>
    </row>
    <row r="3457" spans="1:4" x14ac:dyDescent="0.25">
      <c r="A3457" t="str">
        <f>T("   854519")</f>
        <v xml:space="preserve">   854519</v>
      </c>
      <c r="B3457" t="str">
        <f>T("   ÉLECTRODES EN GRAPHITE OU EN AUTRE CARBONE, POUR USAGES ÉLECTRIQUES (AUTRES QUE POUR FOURS)")</f>
        <v xml:space="preserve">   ÉLECTRODES EN GRAPHITE OU EN AUTRE CARBONE, POUR USAGES ÉLECTRIQUES (AUTRES QUE POUR FOURS)</v>
      </c>
      <c r="C3457">
        <v>1064623</v>
      </c>
      <c r="D3457">
        <v>10</v>
      </c>
    </row>
    <row r="3458" spans="1:4" x14ac:dyDescent="0.25">
      <c r="A3458" t="str">
        <f>T("   870120")</f>
        <v xml:space="preserve">   870120</v>
      </c>
      <c r="B3458" t="str">
        <f>T("   Tracteurs routiers pour semi-remorques")</f>
        <v xml:space="preserve">   Tracteurs routiers pour semi-remorques</v>
      </c>
      <c r="C3458">
        <v>2000000</v>
      </c>
      <c r="D3458">
        <v>2250</v>
      </c>
    </row>
    <row r="3459" spans="1:4" x14ac:dyDescent="0.25">
      <c r="A3459" t="str">
        <f>T("   870210")</f>
        <v xml:space="preserve">   870210</v>
      </c>
      <c r="B3459" t="s">
        <v>472</v>
      </c>
      <c r="C3459">
        <v>3600000</v>
      </c>
      <c r="D3459">
        <v>3750</v>
      </c>
    </row>
    <row r="3460" spans="1:4" x14ac:dyDescent="0.25">
      <c r="A3460" t="str">
        <f>T("   870290")</f>
        <v xml:space="preserve">   870290</v>
      </c>
      <c r="B3460" t="s">
        <v>473</v>
      </c>
      <c r="C3460">
        <v>6000000</v>
      </c>
      <c r="D3460">
        <v>6991</v>
      </c>
    </row>
    <row r="3461" spans="1:4" x14ac:dyDescent="0.25">
      <c r="A3461" t="str">
        <f>T("   870322")</f>
        <v xml:space="preserve">   870322</v>
      </c>
      <c r="B3461" t="s">
        <v>475</v>
      </c>
      <c r="C3461">
        <v>35158852</v>
      </c>
      <c r="D3461">
        <v>25980</v>
      </c>
    </row>
    <row r="3462" spans="1:4" x14ac:dyDescent="0.25">
      <c r="A3462" t="str">
        <f>T("   870323")</f>
        <v xml:space="preserve">   870323</v>
      </c>
      <c r="B3462" t="s">
        <v>476</v>
      </c>
      <c r="C3462">
        <v>188201499</v>
      </c>
      <c r="D3462">
        <v>28249</v>
      </c>
    </row>
    <row r="3463" spans="1:4" x14ac:dyDescent="0.25">
      <c r="A3463" t="str">
        <f>T("   870333")</f>
        <v xml:space="preserve">   870333</v>
      </c>
      <c r="B3463" t="s">
        <v>480</v>
      </c>
      <c r="C3463">
        <v>3345872</v>
      </c>
      <c r="D3463">
        <v>2980</v>
      </c>
    </row>
    <row r="3464" spans="1:4" x14ac:dyDescent="0.25">
      <c r="A3464" t="str">
        <f>T("   870421")</f>
        <v xml:space="preserve">   870421</v>
      </c>
      <c r="B3464" t="s">
        <v>481</v>
      </c>
      <c r="C3464">
        <v>2400000</v>
      </c>
      <c r="D3464">
        <v>4295</v>
      </c>
    </row>
    <row r="3465" spans="1:4" x14ac:dyDescent="0.25">
      <c r="A3465" t="str">
        <f>T("   870422")</f>
        <v xml:space="preserve">   870422</v>
      </c>
      <c r="B3465" t="s">
        <v>482</v>
      </c>
      <c r="C3465">
        <v>5064660</v>
      </c>
      <c r="D3465">
        <v>22050</v>
      </c>
    </row>
    <row r="3466" spans="1:4" x14ac:dyDescent="0.25">
      <c r="A3466" t="str">
        <f>T("   870431")</f>
        <v xml:space="preserve">   870431</v>
      </c>
      <c r="B3466" t="s">
        <v>484</v>
      </c>
      <c r="C3466">
        <v>1200000</v>
      </c>
      <c r="D3466">
        <v>950</v>
      </c>
    </row>
    <row r="3467" spans="1:4" x14ac:dyDescent="0.25">
      <c r="A3467" t="str">
        <f>T("   871640")</f>
        <v xml:space="preserve">   871640</v>
      </c>
      <c r="B3467" t="str">
        <f>T("   Remorques ne circulant pas sur rails (à l'excl. des remorques pour le transport de marchandises et remorques pour l'habitation ou le camping, du type caravane)")</f>
        <v xml:space="preserve">   Remorques ne circulant pas sur rails (à l'excl. des remorques pour le transport de marchandises et remorques pour l'habitation ou le camping, du type caravane)</v>
      </c>
      <c r="C3467">
        <v>2000000</v>
      </c>
      <c r="D3467">
        <v>2250</v>
      </c>
    </row>
    <row r="3468" spans="1:4" x14ac:dyDescent="0.25">
      <c r="A3468" t="str">
        <f>T("   900490")</f>
        <v xml:space="preserve">   900490</v>
      </c>
      <c r="B3468" t="str">
        <f>T("   Lunettes correctrices, protectrices ou autres et articles simil. (à l'excl. des lunettes pour tests visuels, des lunettes solaires, des verres de contact, des verres de lunetterie et des montures de lunettes)")</f>
        <v xml:space="preserve">   Lunettes correctrices, protectrices ou autres et articles simil. (à l'excl. des lunettes pour tests visuels, des lunettes solaires, des verres de contact, des verres de lunetterie et des montures de lunettes)</v>
      </c>
      <c r="C3468">
        <v>150490</v>
      </c>
      <c r="D3468">
        <v>16</v>
      </c>
    </row>
    <row r="3469" spans="1:4" x14ac:dyDescent="0.25">
      <c r="A3469" t="str">
        <f>T("   901831")</f>
        <v xml:space="preserve">   901831</v>
      </c>
      <c r="B3469" t="str">
        <f>T("   Seringues, avec ou sans aiguilles, pour la médecine")</f>
        <v xml:space="preserve">   Seringues, avec ou sans aiguilles, pour la médecine</v>
      </c>
      <c r="C3469">
        <v>3795185</v>
      </c>
      <c r="D3469">
        <v>533</v>
      </c>
    </row>
    <row r="3470" spans="1:4" x14ac:dyDescent="0.25">
      <c r="A3470" t="str">
        <f>T("   901890")</f>
        <v xml:space="preserve">   901890</v>
      </c>
      <c r="B3470" t="str">
        <f>T("   Instruments et appareils pour la médecine, la chirurgie ou l'art vétérinaire, n.d.a.")</f>
        <v xml:space="preserve">   Instruments et appareils pour la médecine, la chirurgie ou l'art vétérinaire, n.d.a.</v>
      </c>
      <c r="C3470">
        <v>164431</v>
      </c>
      <c r="D3470">
        <v>35</v>
      </c>
    </row>
    <row r="3471" spans="1:4" x14ac:dyDescent="0.25">
      <c r="A3471" t="str">
        <f>T("   903289")</f>
        <v xml:space="preserve">   903289</v>
      </c>
      <c r="B3471" t="s">
        <v>503</v>
      </c>
      <c r="C3471">
        <v>1181855</v>
      </c>
      <c r="D3471">
        <v>1</v>
      </c>
    </row>
    <row r="3472" spans="1:4" x14ac:dyDescent="0.25">
      <c r="A3472" t="str">
        <f>T("   940350")</f>
        <v xml:space="preserve">   940350</v>
      </c>
      <c r="B3472" t="str">
        <f>T("   Meubles pour chambres à coucher, en bois (sauf sièges)")</f>
        <v xml:space="preserve">   Meubles pour chambres à coucher, en bois (sauf sièges)</v>
      </c>
      <c r="C3472">
        <v>6500000</v>
      </c>
      <c r="D3472">
        <v>4350</v>
      </c>
    </row>
    <row r="3473" spans="1:4" x14ac:dyDescent="0.25">
      <c r="A3473" t="str">
        <f>T("   940360")</f>
        <v xml:space="preserve">   940360</v>
      </c>
      <c r="B3473" t="str">
        <f>T("   Meubles en bois (autres que pour bureaux, cuisines ou chambres à coucher et autres que sièges)")</f>
        <v xml:space="preserve">   Meubles en bois (autres que pour bureaux, cuisines ou chambres à coucher et autres que sièges)</v>
      </c>
      <c r="C3473">
        <v>104860</v>
      </c>
      <c r="D3473">
        <v>175</v>
      </c>
    </row>
    <row r="3474" spans="1:4" x14ac:dyDescent="0.25">
      <c r="A3474" t="str">
        <f>T("   950349")</f>
        <v xml:space="preserve">   950349</v>
      </c>
      <c r="B3474" t="str">
        <f>T("   JOUETS REPRÉSENTANT DES ANIMAUX OU DES CRÉATURES NON-HUMAINES, NON-REMBOURRÉS")</f>
        <v xml:space="preserve">   JOUETS REPRÉSENTANT DES ANIMAUX OU DES CRÉATURES NON-HUMAINES, NON-REMBOURRÉS</v>
      </c>
      <c r="C3474">
        <v>45200</v>
      </c>
      <c r="D3474">
        <v>75</v>
      </c>
    </row>
    <row r="3475" spans="1:4" x14ac:dyDescent="0.25">
      <c r="A3475" t="str">
        <f>T("   950510")</f>
        <v xml:space="preserve">   950510</v>
      </c>
      <c r="B3475" t="str">
        <f>T("   Articles pour fêtes de Noël (sauf bougies et guirlandes électriques)")</f>
        <v xml:space="preserve">   Articles pour fêtes de Noël (sauf bougies et guirlandes électriques)</v>
      </c>
      <c r="C3475">
        <v>6775763</v>
      </c>
      <c r="D3475">
        <v>5524</v>
      </c>
    </row>
    <row r="3476" spans="1:4" x14ac:dyDescent="0.25">
      <c r="A3476" t="str">
        <f>T("DZ")</f>
        <v>DZ</v>
      </c>
      <c r="B3476" t="str">
        <f>T("Algérie")</f>
        <v>Algérie</v>
      </c>
    </row>
    <row r="3477" spans="1:4" x14ac:dyDescent="0.25">
      <c r="A3477" t="str">
        <f>T("   ZZ_Total_Produit_SH6")</f>
        <v xml:space="preserve">   ZZ_Total_Produit_SH6</v>
      </c>
      <c r="B3477" t="str">
        <f>T("   ZZ_Total_Produit_SH6")</f>
        <v xml:space="preserve">   ZZ_Total_Produit_SH6</v>
      </c>
      <c r="C3477">
        <v>187470076</v>
      </c>
      <c r="D3477">
        <v>914983</v>
      </c>
    </row>
    <row r="3478" spans="1:4" x14ac:dyDescent="0.25">
      <c r="A3478" t="str">
        <f>T("   020714")</f>
        <v xml:space="preserve">   020714</v>
      </c>
      <c r="B3478" t="str">
        <f>T("   Morceaux et abats comestibles de coqs et de poules [des espèces domestiques], congelés")</f>
        <v xml:space="preserve">   Morceaux et abats comestibles de coqs et de poules [des espèces domestiques], congelés</v>
      </c>
      <c r="C3478">
        <v>46650000</v>
      </c>
      <c r="D3478">
        <v>75000</v>
      </c>
    </row>
    <row r="3479" spans="1:4" x14ac:dyDescent="0.25">
      <c r="A3479" t="str">
        <f>T("   020727")</f>
        <v xml:space="preserve">   020727</v>
      </c>
      <c r="B3479" t="str">
        <f>T("   Morceaux et abats comestibles de dindes et dindons [des espèces domestiques], congelés")</f>
        <v xml:space="preserve">   Morceaux et abats comestibles de dindes et dindons [des espèces domestiques], congelés</v>
      </c>
      <c r="C3479">
        <v>46650000</v>
      </c>
      <c r="D3479">
        <v>75000</v>
      </c>
    </row>
    <row r="3480" spans="1:4" x14ac:dyDescent="0.25">
      <c r="A3480" t="str">
        <f>T("   252321")</f>
        <v xml:space="preserve">   252321</v>
      </c>
      <c r="B3480" t="str">
        <f>T("   Ciments Portland blancs, même colorés artificiellement")</f>
        <v xml:space="preserve">   Ciments Portland blancs, même colorés artificiellement</v>
      </c>
      <c r="C3480">
        <v>10267742</v>
      </c>
      <c r="D3480">
        <v>159803</v>
      </c>
    </row>
    <row r="3481" spans="1:4" x14ac:dyDescent="0.25">
      <c r="A3481" t="str">
        <f>T("   271113")</f>
        <v xml:space="preserve">   271113</v>
      </c>
      <c r="B3481" t="str">
        <f>T("   Butanes, liquéfiés (à l'excl. des butanes d'une pureté &gt;= 95% en n-butane ou en isobutane)")</f>
        <v xml:space="preserve">   Butanes, liquéfiés (à l'excl. des butanes d'une pureté &gt;= 95% en n-butane ou en isobutane)</v>
      </c>
      <c r="C3481">
        <v>70336800</v>
      </c>
      <c r="D3481">
        <v>586140</v>
      </c>
    </row>
    <row r="3482" spans="1:4" x14ac:dyDescent="0.25">
      <c r="A3482" t="str">
        <f>T("   392329")</f>
        <v xml:space="preserve">   392329</v>
      </c>
      <c r="B3482" t="str">
        <f>T("   Sacs, sachets, pochettes et cornets, en matières plastiques (autres que les polymères de l'éthylène)")</f>
        <v xml:space="preserve">   Sacs, sachets, pochettes et cornets, en matières plastiques (autres que les polymères de l'éthylène)</v>
      </c>
      <c r="C3482">
        <v>65596</v>
      </c>
      <c r="D3482">
        <v>72</v>
      </c>
    </row>
    <row r="3483" spans="1:4" x14ac:dyDescent="0.25">
      <c r="A3483" t="str">
        <f>T("   392690")</f>
        <v xml:space="preserve">   392690</v>
      </c>
      <c r="B3483" t="str">
        <f>T("   Ouvrages en matières plastiques et ouvrages en autres matières du n° 3901 à 3914, n.d.a.")</f>
        <v xml:space="preserve">   Ouvrages en matières plastiques et ouvrages en autres matières du n° 3901 à 3914, n.d.a.</v>
      </c>
      <c r="C3483">
        <v>633002</v>
      </c>
      <c r="D3483">
        <v>698</v>
      </c>
    </row>
    <row r="3484" spans="1:4" x14ac:dyDescent="0.25">
      <c r="A3484" t="str">
        <f>T("   847190")</f>
        <v xml:space="preserve">   847190</v>
      </c>
      <c r="B3484"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3484">
        <v>1515203</v>
      </c>
      <c r="D3484">
        <v>397</v>
      </c>
    </row>
    <row r="3485" spans="1:4" x14ac:dyDescent="0.25">
      <c r="A3485" t="str">
        <f>T("   851719")</f>
        <v xml:space="preserve">   851719</v>
      </c>
      <c r="B3485" t="str">
        <f>T("   Postes téléphoniques d'usagers pour la téléphonie par fil; visiophones (sauf postes téléphoniques d'usagers par fil à combinés sans fil et parlophones)")</f>
        <v xml:space="preserve">   Postes téléphoniques d'usagers pour la téléphonie par fil; visiophones (sauf postes téléphoniques d'usagers par fil à combinés sans fil et parlophones)</v>
      </c>
      <c r="C3485">
        <v>1118250</v>
      </c>
      <c r="D3485">
        <v>350</v>
      </c>
    </row>
    <row r="3486" spans="1:4" x14ac:dyDescent="0.25">
      <c r="A3486" t="str">
        <f>T("   853620")</f>
        <v xml:space="preserve">   853620</v>
      </c>
      <c r="B3486" t="str">
        <f>T("   Disjoncteurs, pour une tension &lt;= 1.000 V")</f>
        <v xml:space="preserve">   Disjoncteurs, pour une tension &lt;= 1.000 V</v>
      </c>
      <c r="C3486">
        <v>611355</v>
      </c>
      <c r="D3486">
        <v>675</v>
      </c>
    </row>
    <row r="3487" spans="1:4" x14ac:dyDescent="0.25">
      <c r="A3487" t="str">
        <f>T("   853650")</f>
        <v xml:space="preserve">   853650</v>
      </c>
      <c r="B3487" t="str">
        <f>T("   Interrupteurs, sectionneurs et commutateurs, pour une tension &lt;= 1.000 V (autres que relais et disjoncteurs)")</f>
        <v xml:space="preserve">   Interrupteurs, sectionneurs et commutateurs, pour une tension &lt;= 1.000 V (autres que relais et disjoncteurs)</v>
      </c>
      <c r="C3487">
        <v>5306567</v>
      </c>
      <c r="D3487">
        <v>12087</v>
      </c>
    </row>
    <row r="3488" spans="1:4" x14ac:dyDescent="0.25">
      <c r="A3488" t="str">
        <f>T("   853669")</f>
        <v xml:space="preserve">   853669</v>
      </c>
      <c r="B3488" t="str">
        <f>T("   Fiches et prises de courant, pour une tension &lt;= 1.000 V (sauf douilles pour lampes)")</f>
        <v xml:space="preserve">   Fiches et prises de courant, pour une tension &lt;= 1.000 V (sauf douilles pour lampes)</v>
      </c>
      <c r="C3488">
        <v>3092851</v>
      </c>
      <c r="D3488">
        <v>3412</v>
      </c>
    </row>
    <row r="3489" spans="1:4" x14ac:dyDescent="0.25">
      <c r="A3489" t="str">
        <f>T("   853690")</f>
        <v xml:space="preserve">   853690</v>
      </c>
      <c r="B3489" t="s">
        <v>469</v>
      </c>
      <c r="C3489">
        <v>1222710</v>
      </c>
      <c r="D3489">
        <v>1349</v>
      </c>
    </row>
    <row r="3490" spans="1:4" x14ac:dyDescent="0.25">
      <c r="A3490" t="str">
        <f>T("EC")</f>
        <v>EC</v>
      </c>
      <c r="B3490" t="str">
        <f>T("Equateur")</f>
        <v>Equateur</v>
      </c>
    </row>
    <row r="3491" spans="1:4" x14ac:dyDescent="0.25">
      <c r="A3491" t="str">
        <f>T("   ZZ_Total_Produit_SH6")</f>
        <v xml:space="preserve">   ZZ_Total_Produit_SH6</v>
      </c>
      <c r="B3491" t="str">
        <f>T("   ZZ_Total_Produit_SH6")</f>
        <v xml:space="preserve">   ZZ_Total_Produit_SH6</v>
      </c>
      <c r="C3491">
        <v>3288328</v>
      </c>
      <c r="D3491">
        <v>378</v>
      </c>
    </row>
    <row r="3492" spans="1:4" x14ac:dyDescent="0.25">
      <c r="A3492" t="str">
        <f>T("   382200")</f>
        <v xml:space="preserve">   382200</v>
      </c>
      <c r="B3492" t="s">
        <v>125</v>
      </c>
      <c r="C3492">
        <v>3288328</v>
      </c>
      <c r="D3492">
        <v>378</v>
      </c>
    </row>
    <row r="3493" spans="1:4" x14ac:dyDescent="0.25">
      <c r="A3493" t="str">
        <f>T("EE")</f>
        <v>EE</v>
      </c>
      <c r="B3493" t="str">
        <f>T("Estonie")</f>
        <v>Estonie</v>
      </c>
    </row>
    <row r="3494" spans="1:4" x14ac:dyDescent="0.25">
      <c r="A3494" t="str">
        <f>T("   ZZ_Total_Produit_SH6")</f>
        <v xml:space="preserve">   ZZ_Total_Produit_SH6</v>
      </c>
      <c r="B3494" t="str">
        <f>T("   ZZ_Total_Produit_SH6")</f>
        <v xml:space="preserve">   ZZ_Total_Produit_SH6</v>
      </c>
      <c r="C3494">
        <v>1012216125</v>
      </c>
      <c r="D3494">
        <v>2953118</v>
      </c>
    </row>
    <row r="3495" spans="1:4" x14ac:dyDescent="0.25">
      <c r="A3495" t="str">
        <f>T("   271011")</f>
        <v xml:space="preserve">   271011</v>
      </c>
      <c r="B3495" t="str">
        <f>T("   HUILES LÉGÈRES ET PRÉPARATIONS DE PÉTROLE OU DE MINÉRAUX BITUMINEUX DISTILLANT EN VOLUME, Y.C. LES PERTES, &gt;= 90% À 210°C, D'APRÈS LA MÉTHODE ASTM D 86")</f>
        <v xml:space="preserve">   HUILES LÉGÈRES ET PRÉPARATIONS DE PÉTROLE OU DE MINÉRAUX BITUMINEUX DISTILLANT EN VOLUME, Y.C. LES PERTES, &gt;= 90% À 210°C, D'APRÈS LA MÉTHODE ASTM D 86</v>
      </c>
      <c r="C3495">
        <v>1012216125</v>
      </c>
      <c r="D3495">
        <v>2953118</v>
      </c>
    </row>
    <row r="3496" spans="1:4" x14ac:dyDescent="0.25">
      <c r="A3496" t="str">
        <f>T("EG")</f>
        <v>EG</v>
      </c>
      <c r="B3496" t="str">
        <f>T("Egypte")</f>
        <v>Egypte</v>
      </c>
    </row>
    <row r="3497" spans="1:4" x14ac:dyDescent="0.25">
      <c r="A3497" t="str">
        <f>T("   ZZ_Total_Produit_SH6")</f>
        <v xml:space="preserve">   ZZ_Total_Produit_SH6</v>
      </c>
      <c r="B3497" t="str">
        <f>T("   ZZ_Total_Produit_SH6")</f>
        <v xml:space="preserve">   ZZ_Total_Produit_SH6</v>
      </c>
      <c r="C3497">
        <v>2064667694.1659999</v>
      </c>
      <c r="D3497">
        <v>4953136.8</v>
      </c>
    </row>
    <row r="3498" spans="1:4" x14ac:dyDescent="0.25">
      <c r="A3498" t="str">
        <f>T("   080610")</f>
        <v xml:space="preserve">   080610</v>
      </c>
      <c r="B3498" t="str">
        <f>T("   Raisins, frais")</f>
        <v xml:space="preserve">   Raisins, frais</v>
      </c>
      <c r="C3498">
        <v>60000485</v>
      </c>
      <c r="D3498">
        <v>126200</v>
      </c>
    </row>
    <row r="3499" spans="1:4" x14ac:dyDescent="0.25">
      <c r="A3499" t="str">
        <f>T("   151190")</f>
        <v xml:space="preserve">   151190</v>
      </c>
      <c r="B3499" t="str">
        <f>T("   Huile de palme et ses fractions, même raffinées, mais non chimiquement modifiées (à l'excl. de l'huile de palme brute)")</f>
        <v xml:space="preserve">   Huile de palme et ses fractions, même raffinées, mais non chimiquement modifiées (à l'excl. de l'huile de palme brute)</v>
      </c>
      <c r="C3499">
        <v>42549025.166000001</v>
      </c>
      <c r="D3499">
        <v>110219</v>
      </c>
    </row>
    <row r="3500" spans="1:4" x14ac:dyDescent="0.25">
      <c r="A3500" t="str">
        <f>T("   151219")</f>
        <v xml:space="preserve">   151219</v>
      </c>
      <c r="B3500" t="str">
        <f>T("   Huiles de tournesol ou de carthame et leurs fractions, même raffinées, mais non chimiquement modifiées (à l'excl. des huiles brutes)")</f>
        <v xml:space="preserve">   Huiles de tournesol ou de carthame et leurs fractions, même raffinées, mais non chimiquement modifiées (à l'excl. des huiles brutes)</v>
      </c>
      <c r="C3500">
        <v>7227500</v>
      </c>
      <c r="D3500">
        <v>28910</v>
      </c>
    </row>
    <row r="3501" spans="1:4" x14ac:dyDescent="0.25">
      <c r="A3501" t="str">
        <f>T("   151620")</f>
        <v xml:space="preserve">   151620</v>
      </c>
      <c r="B3501" t="str">
        <f>T("   Graisses et huiles végétales et leurs fractions, partiellement ou totalement hydrogénées, interestérifiées, réestérifiées ou élaïdinisées, même raffinées, mais non autrement préparées")</f>
        <v xml:space="preserve">   Graisses et huiles végétales et leurs fractions, partiellement ou totalement hydrogénées, interestérifiées, réestérifiées ou élaïdinisées, même raffinées, mais non autrement préparées</v>
      </c>
      <c r="C3501">
        <v>25581506</v>
      </c>
      <c r="D3501">
        <v>71573</v>
      </c>
    </row>
    <row r="3502" spans="1:4" x14ac:dyDescent="0.25">
      <c r="A3502" t="str">
        <f>T("   200980")</f>
        <v xml:space="preserve">   200980</v>
      </c>
      <c r="B3502" t="str">
        <f>T("   JUS DE FRUITS OU DE LÉGUMES, NON-FERMENTÉS, SANS ADDITION D'ALCOOL, AVEC OU SANS ADDITION DE SUCRE OU D'AUTRES ÉDULCORANTS (À L'EXCL. DES MÉLANGES AINSI QUE DES JUS D'AGRUMES, D'ANANAS, DE TOMATE, DE RAISIN - Y.C. LES MOÛTS - ET DE POMME)")</f>
        <v xml:space="preserve">   JUS DE FRUITS OU DE LÉGUMES, NON-FERMENTÉS, SANS ADDITION D'ALCOOL, AVEC OU SANS ADDITION DE SUCRE OU D'AUTRES ÉDULCORANTS (À L'EXCL. DES MÉLANGES AINSI QUE DES JUS D'AGRUMES, D'ANANAS, DE TOMATE, DE RAISIN - Y.C. LES MOÛTS - ET DE POMME)</v>
      </c>
      <c r="C3502">
        <v>12258727</v>
      </c>
      <c r="D3502">
        <v>92755</v>
      </c>
    </row>
    <row r="3503" spans="1:4" x14ac:dyDescent="0.25">
      <c r="A3503" t="str">
        <f>T("   210690")</f>
        <v xml:space="preserve">   210690</v>
      </c>
      <c r="B3503" t="str">
        <f>T("   Préparations alimentaires, n.d.a.")</f>
        <v xml:space="preserve">   Préparations alimentaires, n.d.a.</v>
      </c>
      <c r="C3503">
        <v>1181268512</v>
      </c>
      <c r="D3503">
        <v>50119</v>
      </c>
    </row>
    <row r="3504" spans="1:4" x14ac:dyDescent="0.25">
      <c r="A3504" t="str">
        <f>T("   220210")</f>
        <v xml:space="preserve">   220210</v>
      </c>
      <c r="B3504" t="str">
        <f>T("   Eaux, y.c. les eaux minérales et les eaux gazéifiées, additionnées de sucre ou d'autres édulcorants ou aromatisées, directement consommables en l'état en tant que boissons")</f>
        <v xml:space="preserve">   Eaux, y.c. les eaux minérales et les eaux gazéifiées, additionnées de sucre ou d'autres édulcorants ou aromatisées, directement consommables en l'état en tant que boissons</v>
      </c>
      <c r="C3504">
        <v>12841115</v>
      </c>
      <c r="D3504">
        <v>45540</v>
      </c>
    </row>
    <row r="3505" spans="1:4" x14ac:dyDescent="0.25">
      <c r="A3505" t="str">
        <f>T("   220290")</f>
        <v xml:space="preserve">   220290</v>
      </c>
      <c r="B3505" t="str">
        <f>T("   BOISSONS NON-ALCOOLIQUES (À L'EXCL. DES EAUX, DES JUS DE FRUITS OU DE LÉGUMES AINSI QUE DU LAIT)")</f>
        <v xml:space="preserve">   BOISSONS NON-ALCOOLIQUES (À L'EXCL. DES EAUX, DES JUS DE FRUITS OU DE LÉGUMES AINSI QUE DU LAIT)</v>
      </c>
      <c r="C3505">
        <v>8267349</v>
      </c>
      <c r="D3505">
        <v>40592</v>
      </c>
    </row>
    <row r="3506" spans="1:4" x14ac:dyDescent="0.25">
      <c r="A3506" t="str">
        <f>T("   240310")</f>
        <v xml:space="preserve">   240310</v>
      </c>
      <c r="B3506" t="str">
        <f>T("   Tabac à fumer, même contenant des succédanés de tabac en toute proportion")</f>
        <v xml:space="preserve">   Tabac à fumer, même contenant des succédanés de tabac en toute proportion</v>
      </c>
      <c r="C3506">
        <v>678760</v>
      </c>
      <c r="D3506">
        <v>955</v>
      </c>
    </row>
    <row r="3507" spans="1:4" x14ac:dyDescent="0.25">
      <c r="A3507" t="str">
        <f>T("   250100")</f>
        <v xml:space="preserve">   250100</v>
      </c>
      <c r="B3507" t="s">
        <v>60</v>
      </c>
      <c r="C3507">
        <v>122839308</v>
      </c>
      <c r="D3507">
        <v>2698757</v>
      </c>
    </row>
    <row r="3508" spans="1:4" x14ac:dyDescent="0.25">
      <c r="A3508" t="str">
        <f>T("   251512")</f>
        <v xml:space="preserve">   251512</v>
      </c>
      <c r="B3508" t="str">
        <f>T("   MARBRES ET TRAVERTINS, SIMPL. DÉBITÉS, PAR SCIAGE OU AUTREMENT, EN BLOCS OU EN PLAQUES DE FORME CARRÉE OU RECTANGULAIRE")</f>
        <v xml:space="preserve">   MARBRES ET TRAVERTINS, SIMPL. DÉBITÉS, PAR SCIAGE OU AUTREMENT, EN BLOCS OU EN PLAQUES DE FORME CARRÉE OU RECTANGULAIRE</v>
      </c>
      <c r="C3508">
        <v>8336685</v>
      </c>
      <c r="D3508">
        <v>43905</v>
      </c>
    </row>
    <row r="3509" spans="1:4" x14ac:dyDescent="0.25">
      <c r="A3509" t="str">
        <f>T("   252020")</f>
        <v xml:space="preserve">   252020</v>
      </c>
      <c r="B3509" t="str">
        <f>T("   Plâtres, même colorés ou additionnés de faibles quantités d'accélérateurs ou de retardateurs")</f>
        <v xml:space="preserve">   Plâtres, même colorés ou additionnés de faibles quantités d'accélérateurs ou de retardateurs</v>
      </c>
      <c r="C3509">
        <v>28317515</v>
      </c>
      <c r="D3509">
        <v>554000</v>
      </c>
    </row>
    <row r="3510" spans="1:4" x14ac:dyDescent="0.25">
      <c r="A3510" t="str">
        <f>T("   252321")</f>
        <v xml:space="preserve">   252321</v>
      </c>
      <c r="B3510" t="str">
        <f>T("   Ciments Portland blancs, même colorés artificiellement")</f>
        <v xml:space="preserve">   Ciments Portland blancs, même colorés artificiellement</v>
      </c>
      <c r="C3510">
        <v>7345617</v>
      </c>
      <c r="D3510">
        <v>112000</v>
      </c>
    </row>
    <row r="3511" spans="1:4" x14ac:dyDescent="0.25">
      <c r="A3511" t="str">
        <f>T("   283650")</f>
        <v xml:space="preserve">   283650</v>
      </c>
      <c r="B3511" t="str">
        <f>T("   Carbonate de calcium")</f>
        <v xml:space="preserve">   Carbonate de calcium</v>
      </c>
      <c r="C3511">
        <v>39764571</v>
      </c>
      <c r="D3511">
        <v>564596</v>
      </c>
    </row>
    <row r="3512" spans="1:4" x14ac:dyDescent="0.25">
      <c r="A3512" t="str">
        <f>T("   320419")</f>
        <v xml:space="preserve">   320419</v>
      </c>
      <c r="B3512" t="s">
        <v>91</v>
      </c>
      <c r="C3512">
        <v>17389531</v>
      </c>
      <c r="D3512">
        <v>16805</v>
      </c>
    </row>
    <row r="3513" spans="1:4" x14ac:dyDescent="0.25">
      <c r="A3513" t="str">
        <f>T("   320820")</f>
        <v xml:space="preserve">   320820</v>
      </c>
      <c r="B3513" t="s">
        <v>95</v>
      </c>
      <c r="C3513">
        <v>3464630</v>
      </c>
      <c r="D3513">
        <v>15140</v>
      </c>
    </row>
    <row r="3514" spans="1:4" x14ac:dyDescent="0.25">
      <c r="A3514" t="str">
        <f>T("   320990")</f>
        <v xml:space="preserve">   320990</v>
      </c>
      <c r="B3514" t="str">
        <f>T("   Peintures et vernis à base de polymères synthétiques ou de polymères naturels modifiés, dispersés ou dissous dans un milieu aqueux (à l'excl. des produits à base de polymères acryliques ou vinyliques)")</f>
        <v xml:space="preserve">   Peintures et vernis à base de polymères synthétiques ou de polymères naturels modifiés, dispersés ou dissous dans un milieu aqueux (à l'excl. des produits à base de polymères acryliques ou vinyliques)</v>
      </c>
      <c r="C3514">
        <v>3277316</v>
      </c>
      <c r="D3514">
        <v>16307</v>
      </c>
    </row>
    <row r="3515" spans="1:4" x14ac:dyDescent="0.25">
      <c r="A3515" t="str">
        <f>T("   321410")</f>
        <v xml:space="preserve">   321410</v>
      </c>
      <c r="B3515" t="str">
        <f>T("   Mastic de vitrier, ciments de résine et autres mastics; enduits utilisés en peinture")</f>
        <v xml:space="preserve">   Mastic de vitrier, ciments de résine et autres mastics; enduits utilisés en peinture</v>
      </c>
      <c r="C3515">
        <v>631434</v>
      </c>
      <c r="D3515">
        <v>6489</v>
      </c>
    </row>
    <row r="3516" spans="1:4" x14ac:dyDescent="0.25">
      <c r="A3516" t="str">
        <f>T("   390521")</f>
        <v xml:space="preserve">   390521</v>
      </c>
      <c r="B3516" t="str">
        <f>T("   Copolymères d'acétate de vinyle, en dispersion aqueuse")</f>
        <v xml:space="preserve">   Copolymères d'acétate de vinyle, en dispersion aqueuse</v>
      </c>
      <c r="C3516">
        <v>32931034</v>
      </c>
      <c r="D3516">
        <v>33484</v>
      </c>
    </row>
    <row r="3517" spans="1:4" x14ac:dyDescent="0.25">
      <c r="A3517" t="str">
        <f>T("   390750")</f>
        <v xml:space="preserve">   390750</v>
      </c>
      <c r="B3517" t="str">
        <f>T("   Résines alkydes, sous formes primaires")</f>
        <v xml:space="preserve">   Résines alkydes, sous formes primaires</v>
      </c>
      <c r="C3517">
        <v>63464518</v>
      </c>
      <c r="D3517">
        <v>59904</v>
      </c>
    </row>
    <row r="3518" spans="1:4" x14ac:dyDescent="0.25">
      <c r="A3518" t="str">
        <f>T("   392020")</f>
        <v xml:space="preserve">   392020</v>
      </c>
      <c r="B3518" t="s">
        <v>132</v>
      </c>
      <c r="C3518">
        <v>309614426</v>
      </c>
      <c r="D3518">
        <v>173239</v>
      </c>
    </row>
    <row r="3519" spans="1:4" x14ac:dyDescent="0.25">
      <c r="A3519" t="str">
        <f>T("   490199")</f>
        <v xml:space="preserve">   490199</v>
      </c>
      <c r="B3519"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3519">
        <v>100000</v>
      </c>
      <c r="D3519">
        <v>38</v>
      </c>
    </row>
    <row r="3520" spans="1:4" x14ac:dyDescent="0.25">
      <c r="A3520" t="str">
        <f>T("   490700")</f>
        <v xml:space="preserve">   490700</v>
      </c>
      <c r="B3520" t="s">
        <v>220</v>
      </c>
      <c r="C3520">
        <v>811600</v>
      </c>
      <c r="D3520">
        <v>66.8</v>
      </c>
    </row>
    <row r="3521" spans="1:4" x14ac:dyDescent="0.25">
      <c r="A3521" t="str">
        <f>T("   620339")</f>
        <v xml:space="preserve">   620339</v>
      </c>
      <c r="B3521" t="str">
        <f>T("   Vestons de matières textiles, pour hommes ou garçonnets (autres que laine, poils fins, coton ou fibres synthétiques, autres qu'en bonneterie et sauf anoraks et articles simil.)")</f>
        <v xml:space="preserve">   Vestons de matières textiles, pour hommes ou garçonnets (autres que laine, poils fins, coton ou fibres synthétiques, autres qu'en bonneterie et sauf anoraks et articles simil.)</v>
      </c>
      <c r="C3521">
        <v>500000</v>
      </c>
      <c r="D3521">
        <v>200</v>
      </c>
    </row>
    <row r="3522" spans="1:4" x14ac:dyDescent="0.25">
      <c r="A3522" t="str">
        <f>T("   691090")</f>
        <v xml:space="preserve">   691090</v>
      </c>
      <c r="B3522" t="s">
        <v>313</v>
      </c>
      <c r="C3522">
        <v>21341258</v>
      </c>
      <c r="D3522">
        <v>52354</v>
      </c>
    </row>
    <row r="3523" spans="1:4" x14ac:dyDescent="0.25">
      <c r="A3523" t="str">
        <f>T("   700711")</f>
        <v xml:space="preserve">   700711</v>
      </c>
      <c r="B3523" t="str">
        <f>T("   VERRES TREMPÉS DE DIMENSIONS ET FORMATS PERMETTANT LEUR EMPLOI DANS LES AUTOMOBILES, VÉHICULES AÉRIENS, BATEAUX OU AUTRES VÉHICULES [01/01/1988-31/12/1988: VERRES TREMPES, -DE SECURITE-, POUR AUTOMOBILES, AERODYNES, BATEAUX OU AUTRES VÉHICULES]")</f>
        <v xml:space="preserve">   VERRES TREMPÉS DE DIMENSIONS ET FORMATS PERMETTANT LEUR EMPLOI DANS LES AUTOMOBILES, VÉHICULES AÉRIENS, BATEAUX OU AUTRES VÉHICULES [01/01/1988-31/12/1988: VERRES TREMPES, -DE SECURITE-, POUR AUTOMOBILES, AERODYNES, BATEAUX OU AUTRES VÉHICULES]</v>
      </c>
      <c r="C3523">
        <v>1650788</v>
      </c>
      <c r="D3523">
        <v>4350</v>
      </c>
    </row>
    <row r="3524" spans="1:4" x14ac:dyDescent="0.25">
      <c r="A3524" t="str">
        <f>T("   732111")</f>
        <v xml:space="preserve">   732111</v>
      </c>
      <c r="B3524" t="s">
        <v>356</v>
      </c>
      <c r="C3524">
        <v>16829443</v>
      </c>
      <c r="D3524">
        <v>11147</v>
      </c>
    </row>
    <row r="3525" spans="1:4" x14ac:dyDescent="0.25">
      <c r="A3525" t="str">
        <f>T("   732190")</f>
        <v xml:space="preserve">   732190</v>
      </c>
      <c r="B3525" t="str">
        <f>T("   Parties des appareils ménagers chauffants non-électriques du n° 7321, n.d.a.")</f>
        <v xml:space="preserve">   Parties des appareils ménagers chauffants non-électriques du n° 7321, n.d.a.</v>
      </c>
      <c r="C3525">
        <v>6921</v>
      </c>
      <c r="D3525">
        <v>40</v>
      </c>
    </row>
    <row r="3526" spans="1:4" x14ac:dyDescent="0.25">
      <c r="A3526" t="str">
        <f>T("   841510")</f>
        <v xml:space="preserve">   841510</v>
      </c>
      <c r="B3526" t="s">
        <v>395</v>
      </c>
      <c r="C3526">
        <v>15623802</v>
      </c>
      <c r="D3526">
        <v>8238</v>
      </c>
    </row>
    <row r="3527" spans="1:4" x14ac:dyDescent="0.25">
      <c r="A3527" t="str">
        <f>T("   841630")</f>
        <v xml:space="preserve">   841630</v>
      </c>
      <c r="B3527" t="str">
        <f>T("   FOYERS AUTOMATIQUES, Y.C. LEURS AVANT-FOYERS, GRILLES MÉCANIQUES, DISPOSITIFS MÉCANIQUES POUR L'ÉVACUATION DES CENDRES ET DISPOSITIFS SIMIL. (SAUF BR¹LEURS)")</f>
        <v xml:space="preserve">   FOYERS AUTOMATIQUES, Y.C. LEURS AVANT-FOYERS, GRILLES MÉCANIQUES, DISPOSITIFS MÉCANIQUES POUR L'ÉVACUATION DES CENDRES ET DISPOSITIFS SIMIL. (SAUF BR¹LEURS)</v>
      </c>
      <c r="C3527">
        <v>4293173</v>
      </c>
      <c r="D3527">
        <v>3140</v>
      </c>
    </row>
    <row r="3528" spans="1:4" x14ac:dyDescent="0.25">
      <c r="A3528" t="str">
        <f>T("   841690")</f>
        <v xml:space="preserve">   841690</v>
      </c>
      <c r="B3528" t="str">
        <f>T("   PARTIES DE BR¹LEURS POUR L'ALIMENTATION DES FOYERS ET DES FOYERS AUTOMATIQUES, DE LEURS AVANT-FOYERS, GRILLES MÉCANIQUES, DISPOSITIFS MÉCANIQUES POUR L'ÉVACUATION DES CENDRES ET DISPOSITIFS SIMIL., N.D.A.")</f>
        <v xml:space="preserve">   PARTIES DE BR¹LEURS POUR L'ALIMENTATION DES FOYERS ET DES FOYERS AUTOMATIQUES, DE LEURS AVANT-FOYERS, GRILLES MÉCANIQUES, DISPOSITIFS MÉCANIQUES POUR L'ÉVACUATION DES CENDRES ET DISPOSITIFS SIMIL., N.D.A.</v>
      </c>
      <c r="C3528">
        <v>3485</v>
      </c>
      <c r="D3528">
        <v>62</v>
      </c>
    </row>
    <row r="3529" spans="1:4" x14ac:dyDescent="0.25">
      <c r="A3529" t="str">
        <f>T("   851610")</f>
        <v xml:space="preserve">   851610</v>
      </c>
      <c r="B3529" t="str">
        <f>T("   Chauffe-eau et thermoplongeurs électriques")</f>
        <v xml:space="preserve">   Chauffe-eau et thermoplongeurs électriques</v>
      </c>
      <c r="C3529">
        <v>2031513</v>
      </c>
      <c r="D3529">
        <v>3657</v>
      </c>
    </row>
    <row r="3530" spans="1:4" x14ac:dyDescent="0.25">
      <c r="A3530" t="str">
        <f>T("   851660")</f>
        <v xml:space="preserve">   851660</v>
      </c>
      <c r="B3530" t="str">
        <f>T("   Fours, cuisinières, réchauds, tables de cuisson, grils et rôtissoires électriques, pour usages domestiques (sauf fours destinés au chauffage des locaux et fours à micro-ondes)")</f>
        <v xml:space="preserve">   Fours, cuisinières, réchauds, tables de cuisson, grils et rôtissoires électriques, pour usages domestiques (sauf fours destinés au chauffage des locaux et fours à micro-ondes)</v>
      </c>
      <c r="C3530">
        <v>8453510</v>
      </c>
      <c r="D3530">
        <v>6693</v>
      </c>
    </row>
    <row r="3531" spans="1:4" x14ac:dyDescent="0.25">
      <c r="A3531" t="str">
        <f>T("   851690")</f>
        <v xml:space="preserve">   851690</v>
      </c>
      <c r="B3531" t="str">
        <f>T("   Parties des chauffe-eau, appareils de chauffage des locaux, appareils électriques pour la coiffure ou pour sécher les mains, appareils électrothermiques pour usages domestiques et résistances chauffantes, n.d.a.")</f>
        <v xml:space="preserve">   Parties des chauffe-eau, appareils de chauffage des locaux, appareils électriques pour la coiffure ou pour sécher les mains, appareils électrothermiques pour usages domestiques et résistances chauffantes, n.d.a.</v>
      </c>
      <c r="C3531">
        <v>3006</v>
      </c>
      <c r="D3531">
        <v>53</v>
      </c>
    </row>
    <row r="3532" spans="1:4" x14ac:dyDescent="0.25">
      <c r="A3532" t="str">
        <f>T("   853649")</f>
        <v xml:space="preserve">   853649</v>
      </c>
      <c r="B3532" t="str">
        <f>T("   Relais, pour une tension &gt; 60 V mais &lt;= 1.000 V")</f>
        <v xml:space="preserve">   Relais, pour une tension &gt; 60 V mais &lt;= 1.000 V</v>
      </c>
      <c r="C3532">
        <v>4369631</v>
      </c>
      <c r="D3532">
        <v>1209</v>
      </c>
    </row>
    <row r="3533" spans="1:4" x14ac:dyDescent="0.25">
      <c r="A3533" t="str">
        <f>T("   853690")</f>
        <v xml:space="preserve">   853690</v>
      </c>
      <c r="B3533" t="s">
        <v>469</v>
      </c>
      <c r="C3533">
        <v>600000</v>
      </c>
      <c r="D3533">
        <v>400</v>
      </c>
    </row>
    <row r="3534" spans="1:4" x14ac:dyDescent="0.25">
      <c r="A3534" t="str">
        <f>T("ER")</f>
        <v>ER</v>
      </c>
      <c r="B3534" t="str">
        <f>T("Erythrée")</f>
        <v>Erythrée</v>
      </c>
    </row>
    <row r="3535" spans="1:4" x14ac:dyDescent="0.25">
      <c r="A3535" t="str">
        <f>T("   ZZ_Total_Produit_SH6")</f>
        <v xml:space="preserve">   ZZ_Total_Produit_SH6</v>
      </c>
      <c r="B3535" t="str">
        <f>T("   ZZ_Total_Produit_SH6")</f>
        <v xml:space="preserve">   ZZ_Total_Produit_SH6</v>
      </c>
      <c r="C3535">
        <v>13739693</v>
      </c>
      <c r="D3535">
        <v>300000</v>
      </c>
    </row>
    <row r="3536" spans="1:4" x14ac:dyDescent="0.25">
      <c r="A3536" t="str">
        <f>T("   250100")</f>
        <v xml:space="preserve">   250100</v>
      </c>
      <c r="B3536" t="s">
        <v>60</v>
      </c>
      <c r="C3536">
        <v>13739693</v>
      </c>
      <c r="D3536">
        <v>300000</v>
      </c>
    </row>
    <row r="3537" spans="1:4" x14ac:dyDescent="0.25">
      <c r="A3537" t="str">
        <f>T("ES")</f>
        <v>ES</v>
      </c>
      <c r="B3537" t="str">
        <f>T("Espagne")</f>
        <v>Espagne</v>
      </c>
    </row>
    <row r="3538" spans="1:4" x14ac:dyDescent="0.25">
      <c r="A3538" t="str">
        <f>T("   ZZ_Total_Produit_SH6")</f>
        <v xml:space="preserve">   ZZ_Total_Produit_SH6</v>
      </c>
      <c r="B3538" t="str">
        <f>T("   ZZ_Total_Produit_SH6")</f>
        <v xml:space="preserve">   ZZ_Total_Produit_SH6</v>
      </c>
      <c r="C3538">
        <v>22532284691.858002</v>
      </c>
      <c r="D3538">
        <v>182972155.56999999</v>
      </c>
    </row>
    <row r="3539" spans="1:4" x14ac:dyDescent="0.25">
      <c r="A3539" t="str">
        <f>T("   020319")</f>
        <v xml:space="preserve">   020319</v>
      </c>
      <c r="B3539" t="str">
        <f>T("   VIANDES DES ANIMAUX DE L'ESPÈCE PORCINE, FRAÎCHES OU RÉFRIGÉRÉES (À L'EXCL. DES CARCASSES ET DEMI-CARCASSES AINSI QUE DES JAMBONS, ÉPAULES ET LEURS MORCEAUX, NON-DÉSOSSÉS)")</f>
        <v xml:space="preserve">   VIANDES DES ANIMAUX DE L'ESPÈCE PORCINE, FRAÎCHES OU RÉFRIGÉRÉES (À L'EXCL. DES CARCASSES ET DEMI-CARCASSES AINSI QUE DES JAMBONS, ÉPAULES ET LEURS MORCEAUX, NON-DÉSOSSÉS)</v>
      </c>
      <c r="C3539">
        <v>2174508</v>
      </c>
      <c r="D3539">
        <v>1184</v>
      </c>
    </row>
    <row r="3540" spans="1:4" x14ac:dyDescent="0.25">
      <c r="A3540" t="str">
        <f>T("   020329")</f>
        <v xml:space="preserve">   020329</v>
      </c>
      <c r="B3540" t="str">
        <f>T("   VIANDES DES ANIMAUX DE L'ESPÈCE PORCINE, CONGELÉES (À L'EXCL. DES CARCASSES OU DEMI-CARCASSES ET DES JAMBONS, ÉPAULES ET LEURS MORCEAUX, NON-DÉSOSSÉS)")</f>
        <v xml:space="preserve">   VIANDES DES ANIMAUX DE L'ESPÈCE PORCINE, CONGELÉES (À L'EXCL. DES CARCASSES OU DEMI-CARCASSES ET DES JAMBONS, ÉPAULES ET LEURS MORCEAUX, NON-DÉSOSSÉS)</v>
      </c>
      <c r="C3540">
        <v>15550000</v>
      </c>
      <c r="D3540">
        <v>19925</v>
      </c>
    </row>
    <row r="3541" spans="1:4" x14ac:dyDescent="0.25">
      <c r="A3541" t="str">
        <f>T("   020712")</f>
        <v xml:space="preserve">   020712</v>
      </c>
      <c r="B3541" t="str">
        <f>T("   COQS ET POULES [DES ESPÈCES DOMESTIQUES], NON-DÉCOUPÉS EN MORCEAUX, CONGELÉS")</f>
        <v xml:space="preserve">   COQS ET POULES [DES ESPÈCES DOMESTIQUES], NON-DÉCOUPÉS EN MORCEAUX, CONGELÉS</v>
      </c>
      <c r="C3541">
        <v>5977281259</v>
      </c>
      <c r="D3541">
        <v>9607127</v>
      </c>
    </row>
    <row r="3542" spans="1:4" x14ac:dyDescent="0.25">
      <c r="A3542" t="str">
        <f>T("   020714")</f>
        <v xml:space="preserve">   020714</v>
      </c>
      <c r="B3542" t="str">
        <f>T("   Morceaux et abats comestibles de coqs et de poules [des espèces domestiques], congelés")</f>
        <v xml:space="preserve">   Morceaux et abats comestibles de coqs et de poules [des espèces domestiques], congelés</v>
      </c>
      <c r="C3542">
        <v>2398191218</v>
      </c>
      <c r="D3542">
        <v>3857625</v>
      </c>
    </row>
    <row r="3543" spans="1:4" x14ac:dyDescent="0.25">
      <c r="A3543" t="str">
        <f>T("   020726")</f>
        <v xml:space="preserve">   020726</v>
      </c>
      <c r="B3543" t="str">
        <f>T("   Morceaux et abats comestibles de dindes et dindons [des espèces domestiques], frais ou réfrigérés")</f>
        <v xml:space="preserve">   Morceaux et abats comestibles de dindes et dindons [des espèces domestiques], frais ou réfrigérés</v>
      </c>
      <c r="C3543">
        <v>15550000</v>
      </c>
      <c r="D3543">
        <v>26020</v>
      </c>
    </row>
    <row r="3544" spans="1:4" x14ac:dyDescent="0.25">
      <c r="A3544" t="str">
        <f>T("   020727")</f>
        <v xml:space="preserve">   020727</v>
      </c>
      <c r="B3544" t="str">
        <f>T("   Morceaux et abats comestibles de dindes et dindons [des espèces domestiques], congelés")</f>
        <v xml:space="preserve">   Morceaux et abats comestibles de dindes et dindons [des espèces domestiques], congelés</v>
      </c>
      <c r="C3544">
        <v>3349891903</v>
      </c>
      <c r="D3544">
        <v>5368466</v>
      </c>
    </row>
    <row r="3545" spans="1:4" x14ac:dyDescent="0.25">
      <c r="A3545" t="str">
        <f>T("   021011")</f>
        <v xml:space="preserve">   021011</v>
      </c>
      <c r="B3545" t="str">
        <f>T("   JAMBONS, ÉPAULES ET LEURS MORCEAUX, NON-DÉSOSSÉS, DE PORCINS, SALÉS OU EN SAUMURE, SÉCHÉS OU FUMÉS")</f>
        <v xml:space="preserve">   JAMBONS, ÉPAULES ET LEURS MORCEAUX, NON-DÉSOSSÉS, DE PORCINS, SALÉS OU EN SAUMURE, SÉCHÉS OU FUMÉS</v>
      </c>
      <c r="C3545">
        <v>8114226</v>
      </c>
      <c r="D3545">
        <v>9542</v>
      </c>
    </row>
    <row r="3546" spans="1:4" x14ac:dyDescent="0.25">
      <c r="A3546" t="str">
        <f>T("   021012")</f>
        <v xml:space="preserve">   021012</v>
      </c>
      <c r="B3546" t="str">
        <f>T("   Poitrines [entrelardés] et morceaux de poitrines, de porcins, salés ou en saumure, séchés ou fumés")</f>
        <v xml:space="preserve">   Poitrines [entrelardés] et morceaux de poitrines, de porcins, salés ou en saumure, séchés ou fumés</v>
      </c>
      <c r="C3546">
        <v>17512163</v>
      </c>
      <c r="D3546">
        <v>12489</v>
      </c>
    </row>
    <row r="3547" spans="1:4" x14ac:dyDescent="0.25">
      <c r="A3547" t="str">
        <f>T("   030374")</f>
        <v xml:space="preserve">   030374</v>
      </c>
      <c r="B3547" t="str">
        <f>T("   Maquereaux [Scomber scombrus, Scomber australasicus, Scomber japonicus], congelés")</f>
        <v xml:space="preserve">   Maquereaux [Scomber scombrus, Scomber australasicus, Scomber japonicus], congelés</v>
      </c>
      <c r="C3547">
        <v>22501396</v>
      </c>
      <c r="D3547">
        <v>100000</v>
      </c>
    </row>
    <row r="3548" spans="1:4" x14ac:dyDescent="0.25">
      <c r="A3548" t="str">
        <f>T("   030379")</f>
        <v xml:space="preserve">   030379</v>
      </c>
      <c r="B3548" t="s">
        <v>15</v>
      </c>
      <c r="C3548">
        <v>356810988</v>
      </c>
      <c r="D3548">
        <v>1580524</v>
      </c>
    </row>
    <row r="3549" spans="1:4" x14ac:dyDescent="0.25">
      <c r="A3549" t="str">
        <f>T("   040310")</f>
        <v xml:space="preserve">   040310</v>
      </c>
      <c r="B3549" t="str">
        <f>T("   Yoghourts, même additionnés de sucre ou d'autres édulcorants ou aromatisés ou additionnés de fruits ou de cacao")</f>
        <v xml:space="preserve">   Yoghourts, même additionnés de sucre ou d'autres édulcorants ou aromatisés ou additionnés de fruits ou de cacao</v>
      </c>
      <c r="C3549">
        <v>14174639</v>
      </c>
      <c r="D3549">
        <v>22602</v>
      </c>
    </row>
    <row r="3550" spans="1:4" x14ac:dyDescent="0.25">
      <c r="A3550" t="str">
        <f>T("   040630")</f>
        <v xml:space="preserve">   040630</v>
      </c>
      <c r="B3550" t="str">
        <f>T("   Fromages fondus (à l'excl. des fromages râpés ou en poudre)")</f>
        <v xml:space="preserve">   Fromages fondus (à l'excl. des fromages râpés ou en poudre)</v>
      </c>
      <c r="C3550">
        <v>10252654</v>
      </c>
      <c r="D3550">
        <v>12655</v>
      </c>
    </row>
    <row r="3551" spans="1:4" x14ac:dyDescent="0.25">
      <c r="A3551" t="str">
        <f>T("   040690")</f>
        <v xml:space="preserve">   040690</v>
      </c>
      <c r="B3551" t="s">
        <v>17</v>
      </c>
      <c r="C3551">
        <v>7435962</v>
      </c>
      <c r="D3551">
        <v>7778</v>
      </c>
    </row>
    <row r="3552" spans="1:4" x14ac:dyDescent="0.25">
      <c r="A3552" t="str">
        <f>T("   050400")</f>
        <v xml:space="preserve">   050400</v>
      </c>
      <c r="B3552" t="str">
        <f>T("   Boyaux, vessies et estomacs d'animaux (autres que ceux de poissons), entiers ou en morceaux, à l'état frais, réfrigéré, congelé, salé ou en saumure, séché ou fumé")</f>
        <v xml:space="preserve">   Boyaux, vessies et estomacs d'animaux (autres que ceux de poissons), entiers ou en morceaux, à l'état frais, réfrigéré, congelé, salé ou en saumure, séché ou fumé</v>
      </c>
      <c r="C3552">
        <v>170846599</v>
      </c>
      <c r="D3552">
        <v>144370</v>
      </c>
    </row>
    <row r="3553" spans="1:4" x14ac:dyDescent="0.25">
      <c r="A3553" t="str">
        <f>T("   070310")</f>
        <v xml:space="preserve">   070310</v>
      </c>
      <c r="B3553" t="str">
        <f>T("   Oignons et échalotes, à l'état frais ou réfrigéré")</f>
        <v xml:space="preserve">   Oignons et échalotes, à l'état frais ou réfrigéré</v>
      </c>
      <c r="C3553">
        <v>4350983</v>
      </c>
      <c r="D3553">
        <v>27350</v>
      </c>
    </row>
    <row r="3554" spans="1:4" x14ac:dyDescent="0.25">
      <c r="A3554" t="str">
        <f>T("   071120")</f>
        <v xml:space="preserve">   071120</v>
      </c>
      <c r="B3554" t="str">
        <f>T("   Olives, conservées provisoirement [p.ex. au moyen de gaz sulfureux ou dans de l'eau salée, soufrée ou additionnée d'autres substances servant à assurer provisoirement leur conservation], mais impropres à l'alimentation en l'état")</f>
        <v xml:space="preserve">   Olives, conservées provisoirement [p.ex. au moyen de gaz sulfureux ou dans de l'eau salée, soufrée ou additionnée d'autres substances servant à assurer provisoirement leur conservation], mais impropres à l'alimentation en l'état</v>
      </c>
      <c r="C3554">
        <v>1559218</v>
      </c>
      <c r="D3554">
        <v>4691</v>
      </c>
    </row>
    <row r="3555" spans="1:4" x14ac:dyDescent="0.25">
      <c r="A3555" t="str">
        <f>T("   080610")</f>
        <v xml:space="preserve">   080610</v>
      </c>
      <c r="B3555" t="str">
        <f>T("   Raisins, frais")</f>
        <v xml:space="preserve">   Raisins, frais</v>
      </c>
      <c r="C3555">
        <v>8000744</v>
      </c>
      <c r="D3555">
        <v>16137</v>
      </c>
    </row>
    <row r="3556" spans="1:4" x14ac:dyDescent="0.25">
      <c r="A3556" t="str">
        <f>T("   110311")</f>
        <v xml:space="preserve">   110311</v>
      </c>
      <c r="B3556" t="str">
        <f>T("   Gruaux et semoules de froment [blé]")</f>
        <v xml:space="preserve">   Gruaux et semoules de froment [blé]</v>
      </c>
      <c r="C3556">
        <v>76541085</v>
      </c>
      <c r="D3556">
        <v>235188</v>
      </c>
    </row>
    <row r="3557" spans="1:4" x14ac:dyDescent="0.25">
      <c r="A3557" t="str">
        <f>T("   110710")</f>
        <v xml:space="preserve">   110710</v>
      </c>
      <c r="B3557" t="str">
        <f>T("   MALT, NON-TORRÉFIÉ")</f>
        <v xml:space="preserve">   MALT, NON-TORRÉFIÉ</v>
      </c>
      <c r="C3557">
        <v>99015850</v>
      </c>
      <c r="D3557">
        <v>311060</v>
      </c>
    </row>
    <row r="3558" spans="1:4" x14ac:dyDescent="0.25">
      <c r="A3558" t="str">
        <f>T("   150990")</f>
        <v xml:space="preserve">   150990</v>
      </c>
      <c r="B3558" t="str">
        <f>T("   Huile d'olive et ses fractions, traitées mais non chimiquement modifiées, obtenues, à partir des fruits de l'olivier, uniquement par des procédés mécaniques ou physiques, dans des conditions n'altérant pas l'huile")</f>
        <v xml:space="preserve">   Huile d'olive et ses fractions, traitées mais non chimiquement modifiées, obtenues, à partir des fruits de l'olivier, uniquement par des procédés mécaniques ou physiques, dans des conditions n'altérant pas l'huile</v>
      </c>
      <c r="C3558">
        <v>1153178</v>
      </c>
      <c r="D3558">
        <v>1434</v>
      </c>
    </row>
    <row r="3559" spans="1:4" x14ac:dyDescent="0.25">
      <c r="A3559" t="str">
        <f>T("   151190")</f>
        <v xml:space="preserve">   151190</v>
      </c>
      <c r="B3559" t="str">
        <f>T("   Huile de palme et ses fractions, même raffinées, mais non chimiquement modifiées (à l'excl. de l'huile de palme brute)")</f>
        <v xml:space="preserve">   Huile de palme et ses fractions, même raffinées, mais non chimiquement modifiées (à l'excl. de l'huile de palme brute)</v>
      </c>
      <c r="C3559">
        <v>304604.85800000001</v>
      </c>
      <c r="D3559">
        <v>807</v>
      </c>
    </row>
    <row r="3560" spans="1:4" x14ac:dyDescent="0.25">
      <c r="A3560" t="str">
        <f>T("   160100")</f>
        <v xml:space="preserve">   160100</v>
      </c>
      <c r="B3560" t="str">
        <f>T("   Saucisses, saucissons et produits simil., de viande, d'abats ou de sang; préparations alimentaires à base de ces produits")</f>
        <v xml:space="preserve">   Saucisses, saucissons et produits simil., de viande, d'abats ou de sang; préparations alimentaires à base de ces produits</v>
      </c>
      <c r="C3560">
        <v>952455</v>
      </c>
      <c r="D3560">
        <v>1138</v>
      </c>
    </row>
    <row r="3561" spans="1:4" x14ac:dyDescent="0.25">
      <c r="A3561" t="str">
        <f>T("   160231")</f>
        <v xml:space="preserve">   160231</v>
      </c>
      <c r="B3561" t="s">
        <v>37</v>
      </c>
      <c r="C3561">
        <v>8674415</v>
      </c>
      <c r="D3561">
        <v>7647</v>
      </c>
    </row>
    <row r="3562" spans="1:4" x14ac:dyDescent="0.25">
      <c r="A3562" t="str">
        <f>T("   160241")</f>
        <v xml:space="preserve">   160241</v>
      </c>
      <c r="B3562" t="str">
        <f>T("   Préparations et conserves de jambons et de morceaux de jambons des animaux de l'espèce porcine")</f>
        <v xml:space="preserve">   Préparations et conserves de jambons et de morceaux de jambons des animaux de l'espèce porcine</v>
      </c>
      <c r="C3562">
        <v>8278217</v>
      </c>
      <c r="D3562">
        <v>10454</v>
      </c>
    </row>
    <row r="3563" spans="1:4" x14ac:dyDescent="0.25">
      <c r="A3563" t="str">
        <f>T("   160242")</f>
        <v xml:space="preserve">   160242</v>
      </c>
      <c r="B3563" t="str">
        <f>T("   Préparations et conserves d'épaules et de morceaux d'épaules des animaux de l'espèce porcine")</f>
        <v xml:space="preserve">   Préparations et conserves d'épaules et de morceaux d'épaules des animaux de l'espèce porcine</v>
      </c>
      <c r="C3563">
        <v>5954805</v>
      </c>
      <c r="D3563">
        <v>5527</v>
      </c>
    </row>
    <row r="3564" spans="1:4" x14ac:dyDescent="0.25">
      <c r="A3564" t="str">
        <f>T("   160249")</f>
        <v xml:space="preserve">   160249</v>
      </c>
      <c r="B3564" t="s">
        <v>40</v>
      </c>
      <c r="C3564">
        <v>6264162</v>
      </c>
      <c r="D3564">
        <v>10071</v>
      </c>
    </row>
    <row r="3565" spans="1:4" x14ac:dyDescent="0.25">
      <c r="A3565" t="str">
        <f>T("   160250")</f>
        <v xml:space="preserve">   160250</v>
      </c>
      <c r="B3565" t="s">
        <v>41</v>
      </c>
      <c r="C3565">
        <v>181045</v>
      </c>
      <c r="D3565">
        <v>207</v>
      </c>
    </row>
    <row r="3566" spans="1:4" x14ac:dyDescent="0.25">
      <c r="A3566" t="str">
        <f>T("   170199")</f>
        <v xml:space="preserve">   170199</v>
      </c>
      <c r="B3566" t="str">
        <f>T("   Sucres de canne ou de betterave et saccharose chimiquement pur, à l'état solide (à l'excl. des sucres bruts et des sucres de canne ou de betterave additionnés d'aromatisants ou de colorants)")</f>
        <v xml:space="preserve">   Sucres de canne ou de betterave et saccharose chimiquement pur, à l'état solide (à l'excl. des sucres bruts et des sucres de canne ou de betterave additionnés d'aromatisants ou de colorants)</v>
      </c>
      <c r="C3566">
        <v>66554</v>
      </c>
      <c r="D3566">
        <v>560</v>
      </c>
    </row>
    <row r="3567" spans="1:4" x14ac:dyDescent="0.25">
      <c r="A3567" t="str">
        <f>T("   170490")</f>
        <v xml:space="preserve">   170490</v>
      </c>
      <c r="B3567" t="str">
        <f>T("   Sucreries sans cacao, y.c. le chocolat blanc (à l'excl. des gommes à mâcher)")</f>
        <v xml:space="preserve">   Sucreries sans cacao, y.c. le chocolat blanc (à l'excl. des gommes à mâcher)</v>
      </c>
      <c r="C3567">
        <v>17217638</v>
      </c>
      <c r="D3567">
        <v>33167</v>
      </c>
    </row>
    <row r="3568" spans="1:4" x14ac:dyDescent="0.25">
      <c r="A3568" t="str">
        <f>T("   190531")</f>
        <v xml:space="preserve">   190531</v>
      </c>
      <c r="B3568" t="str">
        <f>T("   Biscuits additionnés d'édulcorants")</f>
        <v xml:space="preserve">   Biscuits additionnés d'édulcorants</v>
      </c>
      <c r="C3568">
        <v>21807636</v>
      </c>
      <c r="D3568">
        <v>25540</v>
      </c>
    </row>
    <row r="3569" spans="1:4" x14ac:dyDescent="0.25">
      <c r="A3569" t="str">
        <f>T("   190532")</f>
        <v xml:space="preserve">   190532</v>
      </c>
      <c r="B3569" t="str">
        <f>T("   GAUFRES ET GAUFRETTES")</f>
        <v xml:space="preserve">   GAUFRES ET GAUFRETTES</v>
      </c>
      <c r="C3569">
        <v>5530740</v>
      </c>
      <c r="D3569">
        <v>14956</v>
      </c>
    </row>
    <row r="3570" spans="1:4" x14ac:dyDescent="0.25">
      <c r="A3570" t="str">
        <f>T("   190590")</f>
        <v xml:space="preserve">   190590</v>
      </c>
      <c r="B3570" t="s">
        <v>50</v>
      </c>
      <c r="C3570">
        <v>8309045</v>
      </c>
      <c r="D3570">
        <v>11102</v>
      </c>
    </row>
    <row r="3571" spans="1:4" x14ac:dyDescent="0.25">
      <c r="A3571" t="str">
        <f>T("   200290")</f>
        <v xml:space="preserve">   200290</v>
      </c>
      <c r="B3571" t="str">
        <f>T("   Tomates, préparées ou conservées autrement qu'au vinaigre ou à l'acide acétique (à l'excl. des tomates entières ou en morceaux)")</f>
        <v xml:space="preserve">   Tomates, préparées ou conservées autrement qu'au vinaigre ou à l'acide acétique (à l'excl. des tomates entières ou en morceaux)</v>
      </c>
      <c r="C3571">
        <v>57462</v>
      </c>
      <c r="D3571">
        <v>85</v>
      </c>
    </row>
    <row r="3572" spans="1:4" x14ac:dyDescent="0.25">
      <c r="A3572" t="str">
        <f>T("   200540")</f>
        <v xml:space="preserve">   200540</v>
      </c>
      <c r="B3572" t="str">
        <f>T("   Pois [Pisum sativum], préparés ou conservés autrement qu'au vinaigre ou à l'acide acétique, non congelés")</f>
        <v xml:space="preserve">   Pois [Pisum sativum], préparés ou conservés autrement qu'au vinaigre ou à l'acide acétique, non congelés</v>
      </c>
      <c r="C3572">
        <v>13340258</v>
      </c>
      <c r="D3572">
        <v>40064</v>
      </c>
    </row>
    <row r="3573" spans="1:4" x14ac:dyDescent="0.25">
      <c r="A3573" t="str">
        <f>T("   200590")</f>
        <v xml:space="preserve">   200590</v>
      </c>
      <c r="B3573" t="s">
        <v>51</v>
      </c>
      <c r="C3573">
        <v>962950</v>
      </c>
      <c r="D3573">
        <v>1586</v>
      </c>
    </row>
    <row r="3574" spans="1:4" x14ac:dyDescent="0.25">
      <c r="A3574" t="str">
        <f>T("   200919")</f>
        <v xml:space="preserve">   200919</v>
      </c>
      <c r="B3574" t="str">
        <f>T("   JUS D'ORANGE, NON-FERMENTÉS, SANS ADDITION D'ALCOOL, AVEC OU SANS ADDITION DE SUCRE OU D'AUTRES ÉDULCORANTS (À L'EXCL. DES JUS CONGELÉS ET DES JUS D'UNE VALEUR BRIX &lt;= 20 À 20°C)")</f>
        <v xml:space="preserve">   JUS D'ORANGE, NON-FERMENTÉS, SANS ADDITION D'ALCOOL, AVEC OU SANS ADDITION DE SUCRE OU D'AUTRES ÉDULCORANTS (À L'EXCL. DES JUS CONGELÉS ET DES JUS D'UNE VALEUR BRIX &lt;= 20 À 20°C)</v>
      </c>
      <c r="C3574">
        <v>1085614</v>
      </c>
      <c r="D3574">
        <v>4865</v>
      </c>
    </row>
    <row r="3575" spans="1:4" x14ac:dyDescent="0.25">
      <c r="A3575" t="str">
        <f>T("   200969")</f>
        <v xml:space="preserve">   200969</v>
      </c>
      <c r="B3575" t="str">
        <f>T("   JUS DE RAISIN - Y.C. LES MOÛTS DE RAISIN -, NON-FERMENTÉS, SANS ADDITION D'ALCOOL, AVEC OU SANS ADDITION DE SUCRE OU D'AUTRES ÉDULCORANTS, D'UNE VALEUR BRIX &gt; 30 À 20°C")</f>
        <v xml:space="preserve">   JUS DE RAISIN - Y.C. LES MOÛTS DE RAISIN -, NON-FERMENTÉS, SANS ADDITION D'ALCOOL, AVEC OU SANS ADDITION DE SUCRE OU D'AUTRES ÉDULCORANTS, D'UNE VALEUR BRIX &gt; 30 À 20°C</v>
      </c>
      <c r="C3575">
        <v>53355589</v>
      </c>
      <c r="D3575">
        <v>139241</v>
      </c>
    </row>
    <row r="3576" spans="1:4" x14ac:dyDescent="0.25">
      <c r="A3576" t="str">
        <f>T("   200979")</f>
        <v xml:space="preserve">   200979</v>
      </c>
      <c r="B3576" t="str">
        <f>T("   JUS DE POMME, NON-FERMENTÉS, SANS ADDITION D'ALCOOL, AVEC OU SANS ADDITION DE SUCRE OU D'AUTRES ÉDULCORANTS, D'UNE VALEUR BRIX &gt; 20 À 20°C")</f>
        <v xml:space="preserve">   JUS DE POMME, NON-FERMENTÉS, SANS ADDITION D'ALCOOL, AVEC OU SANS ADDITION DE SUCRE OU D'AUTRES ÉDULCORANTS, D'UNE VALEUR BRIX &gt; 20 À 20°C</v>
      </c>
      <c r="C3576">
        <v>846188</v>
      </c>
      <c r="D3576">
        <v>3792</v>
      </c>
    </row>
    <row r="3577" spans="1:4" x14ac:dyDescent="0.25">
      <c r="A3577" t="str">
        <f>T("   200980")</f>
        <v xml:space="preserve">   200980</v>
      </c>
      <c r="B3577" t="str">
        <f>T("   JUS DE FRUITS OU DE LÉGUMES, NON-FERMENTÉS, SANS ADDITION D'ALCOOL, AVEC OU SANS ADDITION DE SUCRE OU D'AUTRES ÉDULCORANTS (À L'EXCL. DES MÉLANGES AINSI QUE DES JUS D'AGRUMES, D'ANANAS, DE TOMATE, DE RAISIN - Y.C. LES MOÛTS - ET DE POMME)")</f>
        <v xml:space="preserve">   JUS DE FRUITS OU DE LÉGUMES, NON-FERMENTÉS, SANS ADDITION D'ALCOOL, AVEC OU SANS ADDITION DE SUCRE OU D'AUTRES ÉDULCORANTS (À L'EXCL. DES MÉLANGES AINSI QUE DES JUS D'AGRUMES, D'ANANAS, DE TOMATE, DE RAISIN - Y.C. LES MOÛTS - ET DE POMME)</v>
      </c>
      <c r="C3577">
        <v>10807091</v>
      </c>
      <c r="D3577">
        <v>44581</v>
      </c>
    </row>
    <row r="3578" spans="1:4" x14ac:dyDescent="0.25">
      <c r="A3578" t="str">
        <f>T("   200990")</f>
        <v xml:space="preserve">   200990</v>
      </c>
      <c r="B3578" t="str">
        <f>T("   MÉLANGES DE JUS DE FRUITS - Y.C. LES MOÛTS DE RAISIN - ET DE JUS DE LÉGUMES, NON-FERMENTÉS, SANS ADDITION D'ALCOOL, AVEC OU SANS ADDITION DE SUCRE OU D'AUTRES ÉDULCORANTS")</f>
        <v xml:space="preserve">   MÉLANGES DE JUS DE FRUITS - Y.C. LES MOÛTS DE RAISIN - ET DE JUS DE LÉGUMES, NON-FERMENTÉS, SANS ADDITION D'ALCOOL, AVEC OU SANS ADDITION DE SUCRE OU D'AUTRES ÉDULCORANTS</v>
      </c>
      <c r="C3578">
        <v>1208934</v>
      </c>
      <c r="D3578">
        <v>5419</v>
      </c>
    </row>
    <row r="3579" spans="1:4" x14ac:dyDescent="0.25">
      <c r="A3579" t="str">
        <f>T("   210390")</f>
        <v xml:space="preserve">   210390</v>
      </c>
      <c r="B3579" t="str">
        <f>T("   Préparations pour sauces et sauces préparées; condiments et assaisonnements, composés (à l'excl. de la sauce de soja, du tomato ketchup et autres sauces tomates, de la farine de moutarde et de la moutarde préparée)")</f>
        <v xml:space="preserve">   Préparations pour sauces et sauces préparées; condiments et assaisonnements, composés (à l'excl. de la sauce de soja, du tomato ketchup et autres sauces tomates, de la farine de moutarde et de la moutarde préparée)</v>
      </c>
      <c r="C3579">
        <v>3187310</v>
      </c>
      <c r="D3579">
        <v>2000</v>
      </c>
    </row>
    <row r="3580" spans="1:4" x14ac:dyDescent="0.25">
      <c r="A3580" t="str">
        <f>T("   210690")</f>
        <v xml:space="preserve">   210690</v>
      </c>
      <c r="B3580" t="str">
        <f>T("   Préparations alimentaires, n.d.a.")</f>
        <v xml:space="preserve">   Préparations alimentaires, n.d.a.</v>
      </c>
      <c r="C3580">
        <v>5219474</v>
      </c>
      <c r="D3580">
        <v>25641</v>
      </c>
    </row>
    <row r="3581" spans="1:4" x14ac:dyDescent="0.25">
      <c r="A3581" t="str">
        <f>T("   220110")</f>
        <v xml:space="preserve">   220110</v>
      </c>
      <c r="B3581" t="str">
        <f>T("   Eaux minérales et eaux gazéifiées, non additionnées de sucre ou d'autres édulcorants ni aromatisées")</f>
        <v xml:space="preserve">   Eaux minérales et eaux gazéifiées, non additionnées de sucre ou d'autres édulcorants ni aromatisées</v>
      </c>
      <c r="C3581">
        <v>7677993</v>
      </c>
      <c r="D3581">
        <v>99185</v>
      </c>
    </row>
    <row r="3582" spans="1:4" x14ac:dyDescent="0.25">
      <c r="A3582" t="str">
        <f>T("   220190")</f>
        <v xml:space="preserve">   220190</v>
      </c>
      <c r="B3582" t="str">
        <f>T("   Eaux, non additionnées de sucre ou d'autres édulcorants ni aromatisées (à l'excl. des eaux minérales, des eaux gazéifiées, de l'eau de mer ainsi que des eaux distillées, de conductibilité ou de même degré de pureté); glace et neige")</f>
        <v xml:space="preserve">   Eaux, non additionnées de sucre ou d'autres édulcorants ni aromatisées (à l'excl. des eaux minérales, des eaux gazéifiées, de l'eau de mer ainsi que des eaux distillées, de conductibilité ou de même degré de pureté); glace et neige</v>
      </c>
      <c r="C3582">
        <v>2969532</v>
      </c>
      <c r="D3582">
        <v>38801</v>
      </c>
    </row>
    <row r="3583" spans="1:4" x14ac:dyDescent="0.25">
      <c r="A3583" t="str">
        <f>T("   220210")</f>
        <v xml:space="preserve">   220210</v>
      </c>
      <c r="B3583" t="str">
        <f>T("   Eaux, y.c. les eaux minérales et les eaux gazéifiées, additionnées de sucre ou d'autres édulcorants ou aromatisées, directement consommables en l'état en tant que boissons")</f>
        <v xml:space="preserve">   Eaux, y.c. les eaux minérales et les eaux gazéifiées, additionnées de sucre ou d'autres édulcorants ou aromatisées, directement consommables en l'état en tant que boissons</v>
      </c>
      <c r="C3583">
        <v>70596520</v>
      </c>
      <c r="D3583">
        <v>266495</v>
      </c>
    </row>
    <row r="3584" spans="1:4" x14ac:dyDescent="0.25">
      <c r="A3584" t="str">
        <f>T("   220290")</f>
        <v xml:space="preserve">   220290</v>
      </c>
      <c r="B3584" t="str">
        <f>T("   BOISSONS NON-ALCOOLIQUES (À L'EXCL. DES EAUX, DES JUS DE FRUITS OU DE LÉGUMES AINSI QUE DU LAIT)")</f>
        <v xml:space="preserve">   BOISSONS NON-ALCOOLIQUES (À L'EXCL. DES EAUX, DES JUS DE FRUITS OU DE LÉGUMES AINSI QUE DU LAIT)</v>
      </c>
      <c r="C3584">
        <v>85107474</v>
      </c>
      <c r="D3584">
        <v>334531</v>
      </c>
    </row>
    <row r="3585" spans="1:4" x14ac:dyDescent="0.25">
      <c r="A3585" t="str">
        <f>T("   220300")</f>
        <v xml:space="preserve">   220300</v>
      </c>
      <c r="B3585" t="str">
        <f>T("   Bières de malt")</f>
        <v xml:space="preserve">   Bières de malt</v>
      </c>
      <c r="C3585">
        <v>47527740</v>
      </c>
      <c r="D3585">
        <v>166574</v>
      </c>
    </row>
    <row r="3586" spans="1:4" x14ac:dyDescent="0.25">
      <c r="A3586" t="str">
        <f>T("   220410")</f>
        <v xml:space="preserve">   220410</v>
      </c>
      <c r="B3586" t="str">
        <f>T("   Vins mousseux produits à partir de raisins frais")</f>
        <v xml:space="preserve">   Vins mousseux produits à partir de raisins frais</v>
      </c>
      <c r="C3586">
        <v>13300541</v>
      </c>
      <c r="D3586">
        <v>40885</v>
      </c>
    </row>
    <row r="3587" spans="1:4" x14ac:dyDescent="0.25">
      <c r="A3587" t="str">
        <f>T("   220421")</f>
        <v xml:space="preserve">   220421</v>
      </c>
      <c r="B3587" t="str">
        <f>T("   Vins de raisins frais, y.c. les vins enrichis en alcool (à l'excl. des vins mousseux); moûts de raisins dont la fermentation a été empêchée ou arrêtée par addition d'alcool, en récipients d'une contenance &lt;= 2 l")</f>
        <v xml:space="preserve">   Vins de raisins frais, y.c. les vins enrichis en alcool (à l'excl. des vins mousseux); moûts de raisins dont la fermentation a été empêchée ou arrêtée par addition d'alcool, en récipients d'une contenance &lt;= 2 l</v>
      </c>
      <c r="C3587">
        <v>862791118</v>
      </c>
      <c r="D3587">
        <v>4084138</v>
      </c>
    </row>
    <row r="3588" spans="1:4" x14ac:dyDescent="0.25">
      <c r="A3588" t="str">
        <f>T("   220429")</f>
        <v xml:space="preserve">   220429</v>
      </c>
      <c r="B3588" t="str">
        <f>T("   VINS DE RAISINS FRAIS, Y.C. LES VINS ENRICHIS EN ALCOOL, ET MOÛTS DE RAISINS DONT LA FERMENTATION A ÉTÉ EMPÊCHÉE OU ARRÊTÉE PAR ADDITION D'ALCOOL, EN RÉCIPIENTS D'UNE CONTENANCE &gt; 2 L (À L'EXCL. DES VINS MOUSSEUX)")</f>
        <v xml:space="preserve">   VINS DE RAISINS FRAIS, Y.C. LES VINS ENRICHIS EN ALCOOL, ET MOÛTS DE RAISINS DONT LA FERMENTATION A ÉTÉ EMPÊCHÉE OU ARRÊTÉE PAR ADDITION D'ALCOOL, EN RÉCIPIENTS D'UNE CONTENANCE &gt; 2 L (À L'EXCL. DES VINS MOUSSEUX)</v>
      </c>
      <c r="C3588">
        <v>41745803</v>
      </c>
      <c r="D3588">
        <v>208642</v>
      </c>
    </row>
    <row r="3589" spans="1:4" x14ac:dyDescent="0.25">
      <c r="A3589" t="str">
        <f>T("   220510")</f>
        <v xml:space="preserve">   220510</v>
      </c>
      <c r="B3589" t="str">
        <f>T("   Vermouths et autres vins de raisins frais préparés à l'aide de plantes ou de substances aromatiques, en récipients d'une contenance &lt;= 2 l")</f>
        <v xml:space="preserve">   Vermouths et autres vins de raisins frais préparés à l'aide de plantes ou de substances aromatiques, en récipients d'une contenance &lt;= 2 l</v>
      </c>
      <c r="C3589">
        <v>191206489</v>
      </c>
      <c r="D3589">
        <v>927249</v>
      </c>
    </row>
    <row r="3590" spans="1:4" x14ac:dyDescent="0.25">
      <c r="A3590" t="str">
        <f>T("   220600")</f>
        <v xml:space="preserve">   220600</v>
      </c>
      <c r="B3590" t="s">
        <v>57</v>
      </c>
      <c r="C3590">
        <v>49391164</v>
      </c>
      <c r="D3590">
        <v>173312</v>
      </c>
    </row>
    <row r="3591" spans="1:4" x14ac:dyDescent="0.25">
      <c r="A3591" t="str">
        <f>T("   220840")</f>
        <v xml:space="preserve">   220840</v>
      </c>
      <c r="B3591" t="str">
        <f>T("   RHUM ET AUTRES EAUX-DE-VIE PROVENANT DE LA DISTILLATION, APRÈS FERMENTATION, DE PRODUITS DE CANNES À SUCRE")</f>
        <v xml:space="preserve">   RHUM ET AUTRES EAUX-DE-VIE PROVENANT DE LA DISTILLATION, APRÈS FERMENTATION, DE PRODUITS DE CANNES À SUCRE</v>
      </c>
      <c r="C3591">
        <v>14743094</v>
      </c>
      <c r="D3591">
        <v>21046</v>
      </c>
    </row>
    <row r="3592" spans="1:4" x14ac:dyDescent="0.25">
      <c r="A3592" t="str">
        <f>T("   220850")</f>
        <v xml:space="preserve">   220850</v>
      </c>
      <c r="B3592" t="str">
        <f>T("   Gin et genièvre")</f>
        <v xml:space="preserve">   Gin et genièvre</v>
      </c>
      <c r="C3592">
        <v>9750203</v>
      </c>
      <c r="D3592">
        <v>40983</v>
      </c>
    </row>
    <row r="3593" spans="1:4" x14ac:dyDescent="0.25">
      <c r="A3593" t="str">
        <f>T("   220870")</f>
        <v xml:space="preserve">   220870</v>
      </c>
      <c r="B3593" t="str">
        <f>T("   LIQUEURS")</f>
        <v xml:space="preserve">   LIQUEURS</v>
      </c>
      <c r="C3593">
        <v>28603615</v>
      </c>
      <c r="D3593">
        <v>79576</v>
      </c>
    </row>
    <row r="3594" spans="1:4" x14ac:dyDescent="0.25">
      <c r="A3594" t="str">
        <f>T("   220890")</f>
        <v xml:space="preserve">   220890</v>
      </c>
      <c r="B3594" t="s">
        <v>58</v>
      </c>
      <c r="C3594">
        <v>12399231</v>
      </c>
      <c r="D3594">
        <v>49419</v>
      </c>
    </row>
    <row r="3595" spans="1:4" x14ac:dyDescent="0.25">
      <c r="A3595" t="str">
        <f>T("   230910")</f>
        <v xml:space="preserve">   230910</v>
      </c>
      <c r="B3595" t="str">
        <f>T("   Aliments pour chiens ou chats, conditionnés pour la vente au détail")</f>
        <v xml:space="preserve">   Aliments pour chiens ou chats, conditionnés pour la vente au détail</v>
      </c>
      <c r="C3595">
        <v>1908188</v>
      </c>
      <c r="D3595">
        <v>4280</v>
      </c>
    </row>
    <row r="3596" spans="1:4" x14ac:dyDescent="0.25">
      <c r="A3596" t="str">
        <f>T("   230990")</f>
        <v xml:space="preserve">   230990</v>
      </c>
      <c r="B3596" t="str">
        <f>T("   Préparations des types utilisés pour l'alimentation des animaux (à l'excl. des aliments pour chiens ou chats conditionnés pour la vente au détail)")</f>
        <v xml:space="preserve">   Préparations des types utilisés pour l'alimentation des animaux (à l'excl. des aliments pour chiens ou chats conditionnés pour la vente au détail)</v>
      </c>
      <c r="C3596">
        <v>295182</v>
      </c>
      <c r="D3596">
        <v>30</v>
      </c>
    </row>
    <row r="3597" spans="1:4" x14ac:dyDescent="0.25">
      <c r="A3597" t="str">
        <f>T("   250100")</f>
        <v xml:space="preserve">   250100</v>
      </c>
      <c r="B3597" t="s">
        <v>60</v>
      </c>
      <c r="C3597">
        <v>6513683</v>
      </c>
      <c r="D3597">
        <v>54800</v>
      </c>
    </row>
    <row r="3598" spans="1:4" x14ac:dyDescent="0.25">
      <c r="A3598" t="str">
        <f>T("   250590")</f>
        <v xml:space="preserve">   250590</v>
      </c>
      <c r="B3598" t="str">
        <f>T("   Sables naturels de toute espèce, même colorés (à l'excl. des sables aurifères, platinifères, monazités, bitumineux, asphaltiques, siliceux ou quartzeux ainsi que des sables de zircon, de rutile ou d'ilménite)")</f>
        <v xml:space="preserve">   Sables naturels de toute espèce, même colorés (à l'excl. des sables aurifères, platinifères, monazités, bitumineux, asphaltiques, siliceux ou quartzeux ainsi que des sables de zircon, de rutile ou d'ilménite)</v>
      </c>
      <c r="C3598">
        <v>291246</v>
      </c>
      <c r="D3598">
        <v>1289</v>
      </c>
    </row>
    <row r="3599" spans="1:4" x14ac:dyDescent="0.25">
      <c r="A3599" t="str">
        <f>T("   250900")</f>
        <v xml:space="preserve">   250900</v>
      </c>
      <c r="B3599" t="str">
        <f>T("   Craie")</f>
        <v xml:space="preserve">   Craie</v>
      </c>
      <c r="C3599">
        <v>6148477</v>
      </c>
      <c r="D3599">
        <v>52250</v>
      </c>
    </row>
    <row r="3600" spans="1:4" x14ac:dyDescent="0.25">
      <c r="A3600" t="str">
        <f>T("   252010")</f>
        <v xml:space="preserve">   252010</v>
      </c>
      <c r="B3600" t="str">
        <f>T("   Gypse; anhydrite")</f>
        <v xml:space="preserve">   Gypse; anhydrite</v>
      </c>
      <c r="C3600">
        <v>2342924474</v>
      </c>
      <c r="D3600">
        <v>93500000</v>
      </c>
    </row>
    <row r="3601" spans="1:4" x14ac:dyDescent="0.25">
      <c r="A3601" t="str">
        <f>T("   252020")</f>
        <v xml:space="preserve">   252020</v>
      </c>
      <c r="B3601" t="str">
        <f>T("   Plâtres, même colorés ou additionnés de faibles quantités d'accélérateurs ou de retardateurs")</f>
        <v xml:space="preserve">   Plâtres, même colorés ou additionnés de faibles quantités d'accélérateurs ou de retardateurs</v>
      </c>
      <c r="C3601">
        <v>85931</v>
      </c>
      <c r="D3601">
        <v>2500</v>
      </c>
    </row>
    <row r="3602" spans="1:4" x14ac:dyDescent="0.25">
      <c r="A3602" t="str">
        <f>T("   252100")</f>
        <v xml:space="preserve">   252100</v>
      </c>
      <c r="B3602" t="str">
        <f>T("   Castines; pierres à chaux ou à ciment")</f>
        <v xml:space="preserve">   Castines; pierres à chaux ou à ciment</v>
      </c>
      <c r="C3602">
        <v>321703774</v>
      </c>
      <c r="D3602">
        <v>14200000</v>
      </c>
    </row>
    <row r="3603" spans="1:4" x14ac:dyDescent="0.25">
      <c r="A3603" t="str">
        <f>T("   252210")</f>
        <v xml:space="preserve">   252210</v>
      </c>
      <c r="B3603" t="str">
        <f>T("   Chaux vive")</f>
        <v xml:space="preserve">   Chaux vive</v>
      </c>
      <c r="C3603">
        <v>47940891</v>
      </c>
      <c r="D3603">
        <v>525436</v>
      </c>
    </row>
    <row r="3604" spans="1:4" x14ac:dyDescent="0.25">
      <c r="A3604" t="str">
        <f>T("   252310")</f>
        <v xml:space="preserve">   252310</v>
      </c>
      <c r="B3604" t="str">
        <f>T("   Ciments non pulvérisés dits 'clinkers'")</f>
        <v xml:space="preserve">   Ciments non pulvérisés dits 'clinkers'</v>
      </c>
      <c r="C3604">
        <v>1250445000</v>
      </c>
      <c r="D3604">
        <v>35727000</v>
      </c>
    </row>
    <row r="3605" spans="1:4" x14ac:dyDescent="0.25">
      <c r="A3605" t="str">
        <f>T("   252321")</f>
        <v xml:space="preserve">   252321</v>
      </c>
      <c r="B3605" t="str">
        <f>T("   Ciments Portland blancs, même colorés artificiellement")</f>
        <v xml:space="preserve">   Ciments Portland blancs, même colorés artificiellement</v>
      </c>
      <c r="C3605">
        <v>6077509</v>
      </c>
      <c r="D3605">
        <v>40972</v>
      </c>
    </row>
    <row r="3606" spans="1:4" x14ac:dyDescent="0.25">
      <c r="A3606" t="str">
        <f>T("   252620")</f>
        <v xml:space="preserve">   252620</v>
      </c>
      <c r="B3606" t="str">
        <f>T("   Stéatite naturelle, broyée ou pulvérisée")</f>
        <v xml:space="preserve">   Stéatite naturelle, broyée ou pulvérisée</v>
      </c>
      <c r="C3606">
        <v>259104</v>
      </c>
      <c r="D3606">
        <v>360</v>
      </c>
    </row>
    <row r="3607" spans="1:4" x14ac:dyDescent="0.25">
      <c r="A3607" t="str">
        <f>T("   253090")</f>
        <v xml:space="preserve">   253090</v>
      </c>
      <c r="B3607" t="str">
        <f>T("   Sulfures d'arsenic, alunite, terre de pouzzolane, terres colorantes et autres matières minérales, n.d.a.")</f>
        <v xml:space="preserve">   Sulfures d'arsenic, alunite, terre de pouzzolane, terres colorantes et autres matières minérales, n.d.a.</v>
      </c>
      <c r="C3607">
        <v>5387910</v>
      </c>
      <c r="D3607">
        <v>62500</v>
      </c>
    </row>
    <row r="3608" spans="1:4" x14ac:dyDescent="0.25">
      <c r="A3608" t="str">
        <f>T("   271019")</f>
        <v xml:space="preserve">   271019</v>
      </c>
      <c r="B3608" t="str">
        <f>T("   Huiles moyennes et préparations, de pétrole ou de minéraux bitumineux, n.d.a.")</f>
        <v xml:space="preserve">   Huiles moyennes et préparations, de pétrole ou de minéraux bitumineux, n.d.a.</v>
      </c>
      <c r="C3608">
        <v>8711149</v>
      </c>
      <c r="D3608">
        <v>14800</v>
      </c>
    </row>
    <row r="3609" spans="1:4" x14ac:dyDescent="0.25">
      <c r="A3609" t="str">
        <f>T("   271490")</f>
        <v xml:space="preserve">   271490</v>
      </c>
      <c r="B3609" t="str">
        <f>T("   Bitumes et asphaltes, naturels; asphaltites et roches asphaltiques")</f>
        <v xml:space="preserve">   Bitumes et asphaltes, naturels; asphaltites et roches asphaltiques</v>
      </c>
      <c r="C3609">
        <v>821262</v>
      </c>
      <c r="D3609">
        <v>2940</v>
      </c>
    </row>
    <row r="3610" spans="1:4" x14ac:dyDescent="0.25">
      <c r="A3610" t="str">
        <f>T("   271500")</f>
        <v xml:space="preserve">   271500</v>
      </c>
      <c r="B3610" t="str">
        <f>T("   Mastics bitumineux, 'cut-backs' et autres mélanges bitumineux à base d'asphalte ou de bitume naturels, de bitume de pétrole, de goudron minéral ou de brai de goudron minéral")</f>
        <v xml:space="preserve">   Mastics bitumineux, 'cut-backs' et autres mélanges bitumineux à base d'asphalte ou de bitume naturels, de bitume de pétrole, de goudron minéral ou de brai de goudron minéral</v>
      </c>
      <c r="C3610">
        <v>434003</v>
      </c>
      <c r="D3610">
        <v>1250</v>
      </c>
    </row>
    <row r="3611" spans="1:4" x14ac:dyDescent="0.25">
      <c r="A3611" t="str">
        <f>T("   280110")</f>
        <v xml:space="preserve">   280110</v>
      </c>
      <c r="B3611" t="str">
        <f>T("   Chlore")</f>
        <v xml:space="preserve">   Chlore</v>
      </c>
      <c r="C3611">
        <v>920312</v>
      </c>
      <c r="D3611">
        <v>129</v>
      </c>
    </row>
    <row r="3612" spans="1:4" x14ac:dyDescent="0.25">
      <c r="A3612" t="str">
        <f>T("   282890")</f>
        <v xml:space="preserve">   282890</v>
      </c>
      <c r="B3612" t="str">
        <f>T("   Hypochlorites, chlorites et hypobromites (à l'excl. des hypochlorites de calcium)")</f>
        <v xml:space="preserve">   Hypochlorites, chlorites et hypobromites (à l'excl. des hypochlorites de calcium)</v>
      </c>
      <c r="C3612">
        <v>167866</v>
      </c>
      <c r="D3612">
        <v>500</v>
      </c>
    </row>
    <row r="3613" spans="1:4" x14ac:dyDescent="0.25">
      <c r="A3613" t="str">
        <f>T("   283650")</f>
        <v xml:space="preserve">   283650</v>
      </c>
      <c r="B3613" t="str">
        <f>T("   Carbonate de calcium")</f>
        <v xml:space="preserve">   Carbonate de calcium</v>
      </c>
      <c r="C3613">
        <v>63301504</v>
      </c>
      <c r="D3613">
        <v>544669</v>
      </c>
    </row>
    <row r="3614" spans="1:4" x14ac:dyDescent="0.25">
      <c r="A3614" t="str">
        <f>T("   285100")</f>
        <v xml:space="preserve">   285100</v>
      </c>
      <c r="B3614" t="str">
        <f>T("   Composés inorganiques, y.c. les eaux distillées, de conductibilité ou de même degré de pureté, n.d.a.; air liquide, y.c. l'air liquide dont les gaz ont été éliminés; air comprimé; amalgames (autres que de métaux précieux)")</f>
        <v xml:space="preserve">   Composés inorganiques, y.c. les eaux distillées, de conductibilité ou de même degré de pureté, n.d.a.; air liquide, y.c. l'air liquide dont les gaz ont été éliminés; air comprimé; amalgames (autres que de métaux précieux)</v>
      </c>
      <c r="C3614">
        <v>50860678</v>
      </c>
      <c r="D3614">
        <v>73720</v>
      </c>
    </row>
    <row r="3615" spans="1:4" x14ac:dyDescent="0.25">
      <c r="A3615" t="str">
        <f>T("   300220")</f>
        <v xml:space="preserve">   300220</v>
      </c>
      <c r="B3615" t="str">
        <f>T("   Vaccins pour la médecine humaine")</f>
        <v xml:space="preserve">   Vaccins pour la médecine humaine</v>
      </c>
      <c r="C3615">
        <v>2241973</v>
      </c>
      <c r="D3615">
        <v>46.76</v>
      </c>
    </row>
    <row r="3616" spans="1:4" x14ac:dyDescent="0.25">
      <c r="A3616" t="str">
        <f>T("   300230")</f>
        <v xml:space="preserve">   300230</v>
      </c>
      <c r="B3616" t="str">
        <f>T("   Vaccins pour la médecine vétérinaire")</f>
        <v xml:space="preserve">   Vaccins pour la médecine vétérinaire</v>
      </c>
      <c r="C3616">
        <v>7476540</v>
      </c>
      <c r="D3616">
        <v>261.7</v>
      </c>
    </row>
    <row r="3617" spans="1:4" x14ac:dyDescent="0.25">
      <c r="A3617" t="str">
        <f>T("   300439")</f>
        <v xml:space="preserve">   300439</v>
      </c>
      <c r="B3617" t="s">
        <v>76</v>
      </c>
      <c r="C3617">
        <v>1033137</v>
      </c>
      <c r="D3617">
        <v>16</v>
      </c>
    </row>
    <row r="3618" spans="1:4" x14ac:dyDescent="0.25">
      <c r="A3618" t="str">
        <f>T("   300490")</f>
        <v xml:space="preserve">   300490</v>
      </c>
      <c r="B3618" t="s">
        <v>78</v>
      </c>
      <c r="C3618">
        <v>21538631</v>
      </c>
      <c r="D3618">
        <v>24215</v>
      </c>
    </row>
    <row r="3619" spans="1:4" x14ac:dyDescent="0.25">
      <c r="A3619" t="str">
        <f>T("   300610")</f>
        <v xml:space="preserve">   300610</v>
      </c>
      <c r="B3619" t="s">
        <v>80</v>
      </c>
      <c r="C3619">
        <v>16374369</v>
      </c>
      <c r="D3619">
        <v>92</v>
      </c>
    </row>
    <row r="3620" spans="1:4" x14ac:dyDescent="0.25">
      <c r="A3620" t="str">
        <f>T("   320411")</f>
        <v xml:space="preserve">   320411</v>
      </c>
      <c r="B3620" t="s">
        <v>86</v>
      </c>
      <c r="C3620">
        <v>581311</v>
      </c>
      <c r="D3620">
        <v>60</v>
      </c>
    </row>
    <row r="3621" spans="1:4" x14ac:dyDescent="0.25">
      <c r="A3621" t="str">
        <f>T("   320611")</f>
        <v xml:space="preserve">   320611</v>
      </c>
      <c r="B3621" t="s">
        <v>92</v>
      </c>
      <c r="C3621">
        <v>44598530</v>
      </c>
      <c r="D3621">
        <v>54700</v>
      </c>
    </row>
    <row r="3622" spans="1:4" x14ac:dyDescent="0.25">
      <c r="A3622" t="str">
        <f>T("   320649")</f>
        <v xml:space="preserve">   320649</v>
      </c>
      <c r="B3622" t="s">
        <v>94</v>
      </c>
      <c r="C3622">
        <v>907849</v>
      </c>
      <c r="D3622">
        <v>6250</v>
      </c>
    </row>
    <row r="3623" spans="1:4" x14ac:dyDescent="0.25">
      <c r="A3623" t="str">
        <f>T("   320990")</f>
        <v xml:space="preserve">   320990</v>
      </c>
      <c r="B3623" t="str">
        <f>T("   Peintures et vernis à base de polymères synthétiques ou de polymères naturels modifiés, dispersés ou dissous dans un milieu aqueux (à l'excl. des produits à base de polymères acryliques ou vinyliques)")</f>
        <v xml:space="preserve">   Peintures et vernis à base de polymères synthétiques ou de polymères naturels modifiés, dispersés ou dissous dans un milieu aqueux (à l'excl. des produits à base de polymères acryliques ou vinyliques)</v>
      </c>
      <c r="C3623">
        <v>179759</v>
      </c>
      <c r="D3623">
        <v>411</v>
      </c>
    </row>
    <row r="3624" spans="1:4" x14ac:dyDescent="0.25">
      <c r="A3624" t="str">
        <f>T("   321490")</f>
        <v xml:space="preserve">   321490</v>
      </c>
      <c r="B3624" t="str">
        <f>T("   Enduits non réfractaires des types utilisés en maçonnerie")</f>
        <v xml:space="preserve">   Enduits non réfractaires des types utilisés en maçonnerie</v>
      </c>
      <c r="C3624">
        <v>19596542</v>
      </c>
      <c r="D3624">
        <v>183503</v>
      </c>
    </row>
    <row r="3625" spans="1:4" x14ac:dyDescent="0.25">
      <c r="A3625" t="str">
        <f>T("   330300")</f>
        <v xml:space="preserve">   330300</v>
      </c>
      <c r="B3625" t="str">
        <f>T("   Parfums et eaux de toilette (à l'excl. des préparations pour l'après-rasage [lotions after-shave] et des désodorisants corporels)")</f>
        <v xml:space="preserve">   Parfums et eaux de toilette (à l'excl. des préparations pour l'après-rasage [lotions after-shave] et des désodorisants corporels)</v>
      </c>
      <c r="C3625">
        <v>4698048</v>
      </c>
      <c r="D3625">
        <v>12281</v>
      </c>
    </row>
    <row r="3626" spans="1:4" x14ac:dyDescent="0.25">
      <c r="A3626" t="str">
        <f>T("   330491")</f>
        <v xml:space="preserve">   330491</v>
      </c>
      <c r="B3626" t="str">
        <f>T("   Poudres pour le maquillage ou l'entretien ou les soins de la peau, y.c. les poudres pour bébés et les poudres compactes (à l'excl. des médicaments)")</f>
        <v xml:space="preserve">   Poudres pour le maquillage ou l'entretien ou les soins de la peau, y.c. les poudres pour bébés et les poudres compactes (à l'excl. des médicaments)</v>
      </c>
      <c r="C3626">
        <v>527661</v>
      </c>
      <c r="D3626">
        <v>903</v>
      </c>
    </row>
    <row r="3627" spans="1:4" x14ac:dyDescent="0.25">
      <c r="A3627" t="str">
        <f>T("   330499")</f>
        <v xml:space="preserve">   330499</v>
      </c>
      <c r="B3627" t="s">
        <v>100</v>
      </c>
      <c r="C3627">
        <v>7417146</v>
      </c>
      <c r="D3627">
        <v>19776</v>
      </c>
    </row>
    <row r="3628" spans="1:4" x14ac:dyDescent="0.25">
      <c r="A3628" t="str">
        <f>T("   330590")</f>
        <v xml:space="preserve">   330590</v>
      </c>
      <c r="B3628" t="str">
        <f>T("   PRÉPARATIONS CAPILLAIRES (À L'EXCL. DES SHAMPOOINGS, DES LAQUES POUR CHEVEUX ET DES PRÉPARATIONS POUR L'ONDULATION OU LE DÉFRISAGE PERMANENTS)")</f>
        <v xml:space="preserve">   PRÉPARATIONS CAPILLAIRES (À L'EXCL. DES SHAMPOOINGS, DES LAQUES POUR CHEVEUX ET DES PRÉPARATIONS POUR L'ONDULATION OU LE DÉFRISAGE PERMANENTS)</v>
      </c>
      <c r="C3628">
        <v>261728</v>
      </c>
      <c r="D3628">
        <v>1209</v>
      </c>
    </row>
    <row r="3629" spans="1:4" x14ac:dyDescent="0.25">
      <c r="A3629" t="str">
        <f>T("   330610")</f>
        <v xml:space="preserve">   330610</v>
      </c>
      <c r="B3629" t="str">
        <f>T("   Dentifrices, préparés, même des types utilisés par les dentistes")</f>
        <v xml:space="preserve">   Dentifrices, préparés, même des types utilisés par les dentistes</v>
      </c>
      <c r="C3629">
        <v>48541</v>
      </c>
      <c r="D3629">
        <v>39</v>
      </c>
    </row>
    <row r="3630" spans="1:4" x14ac:dyDescent="0.25">
      <c r="A3630" t="str">
        <f>T("   330690")</f>
        <v xml:space="preserve">   330690</v>
      </c>
      <c r="B3630" t="str">
        <f>T("   Préparations pour l'hygiène buccale ou dentaire, y.c. les poudres et crèmes pour faciliter l'adhérence des dentiers (à l'excl. des dentifrices et des fils utilisés pour nettoyer les espaces interdentaires [fils dentaires])")</f>
        <v xml:space="preserve">   Préparations pour l'hygiène buccale ou dentaire, y.c. les poudres et crèmes pour faciliter l'adhérence des dentiers (à l'excl. des dentifrices et des fils utilisés pour nettoyer les espaces interdentaires [fils dentaires])</v>
      </c>
      <c r="C3630">
        <v>160055</v>
      </c>
      <c r="D3630">
        <v>598</v>
      </c>
    </row>
    <row r="3631" spans="1:4" x14ac:dyDescent="0.25">
      <c r="A3631" t="str">
        <f>T("   330720")</f>
        <v xml:space="preserve">   330720</v>
      </c>
      <c r="B3631" t="str">
        <f>T("   Désodorisants corporels et antisudoraux, préparés")</f>
        <v xml:space="preserve">   Désodorisants corporels et antisudoraux, préparés</v>
      </c>
      <c r="C3631">
        <v>658583</v>
      </c>
      <c r="D3631">
        <v>1991</v>
      </c>
    </row>
    <row r="3632" spans="1:4" x14ac:dyDescent="0.25">
      <c r="A3632" t="str">
        <f>T("   330749")</f>
        <v xml:space="preserve">   330749</v>
      </c>
      <c r="B3632" t="str">
        <f>T("   Préparations pour parfumer ou pour désodoriser les locaux, y.c. les préparations odoriférantes pour cérémonies religieuses (à l'excl. de l'agarbatti et des autres préparations odoriférantes agissant par combustion)")</f>
        <v xml:space="preserve">   Préparations pour parfumer ou pour désodoriser les locaux, y.c. les préparations odoriférantes pour cérémonies religieuses (à l'excl. de l'agarbatti et des autres préparations odoriférantes agissant par combustion)</v>
      </c>
      <c r="C3632">
        <v>15317646</v>
      </c>
      <c r="D3632">
        <v>26045</v>
      </c>
    </row>
    <row r="3633" spans="1:4" x14ac:dyDescent="0.25">
      <c r="A3633" t="str">
        <f>T("   340111")</f>
        <v xml:space="preserve">   340111</v>
      </c>
      <c r="B3633" t="s">
        <v>101</v>
      </c>
      <c r="C3633">
        <v>2154390</v>
      </c>
      <c r="D3633">
        <v>3926</v>
      </c>
    </row>
    <row r="3634" spans="1:4" x14ac:dyDescent="0.25">
      <c r="A3634" t="str">
        <f>T("   340119")</f>
        <v xml:space="preserve">   340119</v>
      </c>
      <c r="B3634" t="s">
        <v>102</v>
      </c>
      <c r="C3634">
        <v>62936606</v>
      </c>
      <c r="D3634">
        <v>208260</v>
      </c>
    </row>
    <row r="3635" spans="1:4" x14ac:dyDescent="0.25">
      <c r="A3635" t="str">
        <f>T("   340120")</f>
        <v xml:space="preserve">   340120</v>
      </c>
      <c r="B3635" t="str">
        <f>T("   Savons en flocons, en paillettes, en granulés ou en poudres et savons liquides ou pâteux")</f>
        <v xml:space="preserve">   Savons en flocons, en paillettes, en granulés ou en poudres et savons liquides ou pâteux</v>
      </c>
      <c r="C3635">
        <v>15729376</v>
      </c>
      <c r="D3635">
        <v>50007</v>
      </c>
    </row>
    <row r="3636" spans="1:4" x14ac:dyDescent="0.25">
      <c r="A3636" t="str">
        <f>T("   340130")</f>
        <v xml:space="preserve">   340130</v>
      </c>
      <c r="B3636" t="str">
        <f>T("   Produits et préparations organiques tensio-actifs destinés au lavage de la peau, sous forme de liquide ou de crème, conditionnés pour la vente au détail, même contenant  du savon")</f>
        <v xml:space="preserve">   Produits et préparations organiques tensio-actifs destinés au lavage de la peau, sous forme de liquide ou de crème, conditionnés pour la vente au détail, même contenant  du savon</v>
      </c>
      <c r="C3636">
        <v>2706490</v>
      </c>
      <c r="D3636">
        <v>8985</v>
      </c>
    </row>
    <row r="3637" spans="1:4" x14ac:dyDescent="0.25">
      <c r="A3637" t="str">
        <f>T("   340220")</f>
        <v xml:space="preserve">   340220</v>
      </c>
      <c r="B3637" t="s">
        <v>103</v>
      </c>
      <c r="C3637">
        <v>8323477</v>
      </c>
      <c r="D3637">
        <v>32740</v>
      </c>
    </row>
    <row r="3638" spans="1:4" x14ac:dyDescent="0.25">
      <c r="A3638" t="str">
        <f>T("   340290")</f>
        <v xml:space="preserve">   340290</v>
      </c>
      <c r="B3638" t="s">
        <v>104</v>
      </c>
      <c r="C3638">
        <v>2815957</v>
      </c>
      <c r="D3638">
        <v>521</v>
      </c>
    </row>
    <row r="3639" spans="1:4" x14ac:dyDescent="0.25">
      <c r="A3639" t="str">
        <f>T("   340520")</f>
        <v xml:space="preserve">   340520</v>
      </c>
      <c r="B3639" t="s">
        <v>109</v>
      </c>
      <c r="C3639">
        <v>274848</v>
      </c>
      <c r="D3639">
        <v>760</v>
      </c>
    </row>
    <row r="3640" spans="1:4" x14ac:dyDescent="0.25">
      <c r="A3640" t="str">
        <f>T("   340530")</f>
        <v xml:space="preserve">   340530</v>
      </c>
      <c r="B3640" t="s">
        <v>110</v>
      </c>
      <c r="C3640">
        <v>73113</v>
      </c>
      <c r="D3640">
        <v>279</v>
      </c>
    </row>
    <row r="3641" spans="1:4" x14ac:dyDescent="0.25">
      <c r="A3641" t="str">
        <f>T("   340540")</f>
        <v xml:space="preserve">   340540</v>
      </c>
      <c r="B3641" t="str">
        <f>T("   Pâtes, poudres et autres préparations à récurer, même sous forme de papier, ouates, feutres, nontissés, matière plastique ou caoutchouc alvéolaires, imprégnés, enduits ou recouverts de ces préparations")</f>
        <v xml:space="preserve">   Pâtes, poudres et autres préparations à récurer, même sous forme de papier, ouates, feutres, nontissés, matière plastique ou caoutchouc alvéolaires, imprégnés, enduits ou recouverts de ces préparations</v>
      </c>
      <c r="C3641">
        <v>3371233</v>
      </c>
      <c r="D3641">
        <v>16600</v>
      </c>
    </row>
    <row r="3642" spans="1:4" x14ac:dyDescent="0.25">
      <c r="A3642" t="str">
        <f>T("   350510")</f>
        <v xml:space="preserve">   350510</v>
      </c>
      <c r="B3642" t="str">
        <f>T("   DEXTRINE ET AUTRES AMIDONS ET FÉCULES MODIFIÉS [LES AMIDONS ET FÉCULES PRÉ-GÉLATINISÉS OU ESTÉRIFIÉS, P.EX.]")</f>
        <v xml:space="preserve">   DEXTRINE ET AUTRES AMIDONS ET FÉCULES MODIFIÉS [LES AMIDONS ET FÉCULES PRÉ-GÉLATINISÉS OU ESTÉRIFIÉS, P.EX.]</v>
      </c>
      <c r="C3642">
        <v>36078</v>
      </c>
      <c r="D3642">
        <v>18</v>
      </c>
    </row>
    <row r="3643" spans="1:4" x14ac:dyDescent="0.25">
      <c r="A3643" t="str">
        <f>T("   350699")</f>
        <v xml:space="preserve">   350699</v>
      </c>
      <c r="B3643" t="str">
        <f>T("   Colles et autres adhésifs préparés, n.d.a.")</f>
        <v xml:space="preserve">   Colles et autres adhésifs préparés, n.d.a.</v>
      </c>
      <c r="C3643">
        <v>6648811</v>
      </c>
      <c r="D3643">
        <v>3195</v>
      </c>
    </row>
    <row r="3644" spans="1:4" x14ac:dyDescent="0.25">
      <c r="A3644" t="str">
        <f>T("   370231")</f>
        <v xml:space="preserve">   370231</v>
      </c>
      <c r="B3644" t="s">
        <v>113</v>
      </c>
      <c r="C3644">
        <v>1967837</v>
      </c>
      <c r="D3644">
        <v>5170</v>
      </c>
    </row>
    <row r="3645" spans="1:4" x14ac:dyDescent="0.25">
      <c r="A3645" t="str">
        <f>T("   370320")</f>
        <v xml:space="preserve">   370320</v>
      </c>
      <c r="B3645" t="str">
        <f>T("   PAPIERS, CARTONS ET TEXTILES, PHOTOGRAPHIQUES, SENSIBILISÉS, NON-IMPRESSIONNÉS, POUR LA PHOTOGRAPHIE EN COULEURS [POLYCHROME] (À L'EXCL. DES PRODUITS EN ROULEAUX D'UNE LARGEUR &gt; 610 MM)")</f>
        <v xml:space="preserve">   PAPIERS, CARTONS ET TEXTILES, PHOTOGRAPHIQUES, SENSIBILISÉS, NON-IMPRESSIONNÉS, POUR LA PHOTOGRAPHIE EN COULEURS [POLYCHROME] (À L'EXCL. DES PRODUITS EN ROULEAUX D'UNE LARGEUR &gt; 610 MM)</v>
      </c>
      <c r="C3645">
        <v>8521967</v>
      </c>
      <c r="D3645">
        <v>12117</v>
      </c>
    </row>
    <row r="3646" spans="1:4" x14ac:dyDescent="0.25">
      <c r="A3646" t="str">
        <f>T("   380810")</f>
        <v xml:space="preserve">   380810</v>
      </c>
      <c r="B3646" t="str">
        <f>T("   Insecticides présentés dans des formes ou emballages de vente au détail ou à l'état de préparations ou sous forme d'articles")</f>
        <v xml:space="preserve">   Insecticides présentés dans des formes ou emballages de vente au détail ou à l'état de préparations ou sous forme d'articles</v>
      </c>
      <c r="C3646">
        <v>65257865</v>
      </c>
      <c r="D3646">
        <v>158243</v>
      </c>
    </row>
    <row r="3647" spans="1:4" x14ac:dyDescent="0.25">
      <c r="A3647" t="str">
        <f>T("   381600")</f>
        <v xml:space="preserve">   381600</v>
      </c>
      <c r="B3647" t="str">
        <f>T("   Ciments, mortiers, bétons et compositions simil. réfractaires (à l'excl. des préparations à base de graphite ou d'autre carbone)")</f>
        <v xml:space="preserve">   Ciments, mortiers, bétons et compositions simil. réfractaires (à l'excl. des préparations à base de graphite ou d'autre carbone)</v>
      </c>
      <c r="C3647">
        <v>23806100</v>
      </c>
      <c r="D3647">
        <v>20450</v>
      </c>
    </row>
    <row r="3648" spans="1:4" x14ac:dyDescent="0.25">
      <c r="A3648" t="str">
        <f>T("   382200")</f>
        <v xml:space="preserve">   382200</v>
      </c>
      <c r="B3648" t="s">
        <v>125</v>
      </c>
      <c r="C3648">
        <v>15438720</v>
      </c>
      <c r="D3648">
        <v>613</v>
      </c>
    </row>
    <row r="3649" spans="1:4" x14ac:dyDescent="0.25">
      <c r="A3649" t="str">
        <f>T("   382440")</f>
        <v xml:space="preserve">   382440</v>
      </c>
      <c r="B3649" t="str">
        <f>T("   Additifs préparés pour ciments, mortiers ou bétons")</f>
        <v xml:space="preserve">   Additifs préparés pour ciments, mortiers ou bétons</v>
      </c>
      <c r="C3649">
        <v>404072</v>
      </c>
      <c r="D3649">
        <v>59</v>
      </c>
    </row>
    <row r="3650" spans="1:4" x14ac:dyDescent="0.25">
      <c r="A3650" t="str">
        <f>T("   382490")</f>
        <v xml:space="preserve">   382490</v>
      </c>
      <c r="B3650" t="str">
        <f>T("   Produits chimiques et préparations des industries chimiques ou des industries connexes, y.c. celles consistant en mélanges de produits naturels, n.d.a.")</f>
        <v xml:space="preserve">   Produits chimiques et préparations des industries chimiques ou des industries connexes, y.c. celles consistant en mélanges de produits naturels, n.d.a.</v>
      </c>
      <c r="C3650">
        <v>1860880</v>
      </c>
      <c r="D3650">
        <v>500</v>
      </c>
    </row>
    <row r="3651" spans="1:4" x14ac:dyDescent="0.25">
      <c r="A3651" t="str">
        <f>T("   382590")</f>
        <v xml:space="preserve">   382590</v>
      </c>
      <c r="B3651" t="str">
        <f>T("   Produits résiduaires des industries chimiques ou des industries connexes, n.d.a. (à l'excl. des déchets)")</f>
        <v xml:space="preserve">   Produits résiduaires des industries chimiques ou des industries connexes, n.d.a. (à l'excl. des déchets)</v>
      </c>
      <c r="C3651">
        <v>470258</v>
      </c>
      <c r="D3651">
        <v>200</v>
      </c>
    </row>
    <row r="3652" spans="1:4" x14ac:dyDescent="0.25">
      <c r="A3652" t="str">
        <f>T("   390521")</f>
        <v xml:space="preserve">   390521</v>
      </c>
      <c r="B3652" t="str">
        <f>T("   Copolymères d'acétate de vinyle, en dispersion aqueuse")</f>
        <v xml:space="preserve">   Copolymères d'acétate de vinyle, en dispersion aqueuse</v>
      </c>
      <c r="C3652">
        <v>13573780</v>
      </c>
      <c r="D3652">
        <v>15700</v>
      </c>
    </row>
    <row r="3653" spans="1:4" x14ac:dyDescent="0.25">
      <c r="A3653" t="str">
        <f>T("   390750")</f>
        <v xml:space="preserve">   390750</v>
      </c>
      <c r="B3653" t="str">
        <f>T("   Résines alkydes, sous formes primaires")</f>
        <v xml:space="preserve">   Résines alkydes, sous formes primaires</v>
      </c>
      <c r="C3653">
        <v>27148216</v>
      </c>
      <c r="D3653">
        <v>31400</v>
      </c>
    </row>
    <row r="3654" spans="1:4" x14ac:dyDescent="0.25">
      <c r="A3654" t="str">
        <f>T("   391739")</f>
        <v xml:space="preserve">   391739</v>
      </c>
      <c r="B3654" t="str">
        <f>T("   TUBES ET TUYAUX SOUPLES, EN MATIÈRES PLASTIQUES, RENFORCÉS D'AUTRES MATIÈRES OU ASSOCIÉS À D'AUTRES MATIÈRES (À L'EXCL. DES PRODUITS POUVANT SUPPORTER UNE PRESSION &gt;= 27,6 MPA)")</f>
        <v xml:space="preserve">   TUBES ET TUYAUX SOUPLES, EN MATIÈRES PLASTIQUES, RENFORCÉS D'AUTRES MATIÈRES OU ASSOCIÉS À D'AUTRES MATIÈRES (À L'EXCL. DES PRODUITS POUVANT SUPPORTER UNE PRESSION &gt;= 27,6 MPA)</v>
      </c>
      <c r="C3654">
        <v>42145</v>
      </c>
      <c r="D3654">
        <v>254</v>
      </c>
    </row>
    <row r="3655" spans="1:4" x14ac:dyDescent="0.25">
      <c r="A3655" t="str">
        <f>T("   391740")</f>
        <v xml:space="preserve">   391740</v>
      </c>
      <c r="B3655" t="str">
        <f>T("   Accessoires pour tubes ou tuyaux [joints, coudes, raccords, par exemple], en matières plastiques")</f>
        <v xml:space="preserve">   Accessoires pour tubes ou tuyaux [joints, coudes, raccords, par exemple], en matières plastiques</v>
      </c>
      <c r="C3655">
        <v>740257</v>
      </c>
      <c r="D3655">
        <v>295</v>
      </c>
    </row>
    <row r="3656" spans="1:4" x14ac:dyDescent="0.25">
      <c r="A3656" t="str">
        <f>T("   391990")</f>
        <v xml:space="preserve">   391990</v>
      </c>
      <c r="B3656" t="s">
        <v>130</v>
      </c>
      <c r="C3656">
        <v>931466</v>
      </c>
      <c r="D3656">
        <v>357</v>
      </c>
    </row>
    <row r="3657" spans="1:4" x14ac:dyDescent="0.25">
      <c r="A3657" t="str">
        <f>T("   392010")</f>
        <v xml:space="preserve">   392010</v>
      </c>
      <c r="B3657" t="s">
        <v>131</v>
      </c>
      <c r="C3657">
        <v>19693231</v>
      </c>
      <c r="D3657">
        <v>13017</v>
      </c>
    </row>
    <row r="3658" spans="1:4" x14ac:dyDescent="0.25">
      <c r="A3658" t="str">
        <f>T("   392049")</f>
        <v xml:space="preserve">   392049</v>
      </c>
      <c r="B3658" t="s">
        <v>134</v>
      </c>
      <c r="C3658">
        <v>4244</v>
      </c>
      <c r="D3658">
        <v>1</v>
      </c>
    </row>
    <row r="3659" spans="1:4" x14ac:dyDescent="0.25">
      <c r="A3659" t="str">
        <f>T("   392220")</f>
        <v xml:space="preserve">   392220</v>
      </c>
      <c r="B3659" t="str">
        <f>T("   Sièges et couvercles de cuvettes d'aisance, en matières plastiques")</f>
        <v xml:space="preserve">   Sièges et couvercles de cuvettes d'aisance, en matières plastiques</v>
      </c>
      <c r="C3659">
        <v>7441039</v>
      </c>
      <c r="D3659">
        <v>3848</v>
      </c>
    </row>
    <row r="3660" spans="1:4" x14ac:dyDescent="0.25">
      <c r="A3660" t="str">
        <f>T("   392290")</f>
        <v xml:space="preserve">   392290</v>
      </c>
      <c r="B3660" t="str">
        <f>T("   Bidets, cuvettes d'aisance, réservoirs de chasse et articles simil. pour usages sanitaires ou hygiéniques, en matières plastiques (à l'excl. des baignoires, des douches, d'éviers, des lavabos ainsi que des sièges et couvercles de cuvettes d'aisance)")</f>
        <v xml:space="preserve">   Bidets, cuvettes d'aisance, réservoirs de chasse et articles simil. pour usages sanitaires ou hygiéniques, en matières plastiques (à l'excl. des baignoires, des douches, d'éviers, des lavabos ainsi que des sièges et couvercles de cuvettes d'aisance)</v>
      </c>
      <c r="C3660">
        <v>1888509</v>
      </c>
      <c r="D3660">
        <v>7730</v>
      </c>
    </row>
    <row r="3661" spans="1:4" x14ac:dyDescent="0.25">
      <c r="A3661" t="str">
        <f>T("   392310")</f>
        <v xml:space="preserve">   392310</v>
      </c>
      <c r="B3661" t="str">
        <f>T("   Boîtes, caisses, casiers et articles simil. pour le transport ou l'emballage, en matières plastiques")</f>
        <v xml:space="preserve">   Boîtes, caisses, casiers et articles simil. pour le transport ou l'emballage, en matières plastiques</v>
      </c>
      <c r="C3661">
        <v>38702</v>
      </c>
      <c r="D3661">
        <v>86</v>
      </c>
    </row>
    <row r="3662" spans="1:4" x14ac:dyDescent="0.25">
      <c r="A3662" t="str">
        <f>T("   392321")</f>
        <v xml:space="preserve">   392321</v>
      </c>
      <c r="B3662" t="str">
        <f>T("   Sacs, sachets, pochettes et cornets, en polymères de l'éthylène")</f>
        <v xml:space="preserve">   Sacs, sachets, pochettes et cornets, en polymères de l'éthylène</v>
      </c>
      <c r="C3662">
        <v>58380</v>
      </c>
      <c r="D3662">
        <v>49</v>
      </c>
    </row>
    <row r="3663" spans="1:4" x14ac:dyDescent="0.25">
      <c r="A3663" t="str">
        <f>T("   392329")</f>
        <v xml:space="preserve">   392329</v>
      </c>
      <c r="B3663" t="str">
        <f>T("   Sacs, sachets, pochettes et cornets, en matières plastiques (autres que les polymères de l'éthylène)")</f>
        <v xml:space="preserve">   Sacs, sachets, pochettes et cornets, en matières plastiques (autres que les polymères de l'éthylène)</v>
      </c>
      <c r="C3663">
        <v>35396</v>
      </c>
      <c r="D3663">
        <v>3064</v>
      </c>
    </row>
    <row r="3664" spans="1:4" x14ac:dyDescent="0.25">
      <c r="A3664" t="str">
        <f>T("   392350")</f>
        <v xml:space="preserve">   392350</v>
      </c>
      <c r="B3664" t="str">
        <f>T("   Bouchons, couvercles, capsules et autres dispositifs de fermeture, en matières plastiques")</f>
        <v xml:space="preserve">   Bouchons, couvercles, capsules et autres dispositifs de fermeture, en matières plastiques</v>
      </c>
      <c r="C3664">
        <v>191065449</v>
      </c>
      <c r="D3664">
        <v>83378</v>
      </c>
    </row>
    <row r="3665" spans="1:4" x14ac:dyDescent="0.25">
      <c r="A3665" t="str">
        <f>T("   392410")</f>
        <v xml:space="preserve">   392410</v>
      </c>
      <c r="B3665" t="str">
        <f>T("   Vaisselle et autres articles pour le service de la table ou de la cuisine, en matières plastiques")</f>
        <v xml:space="preserve">   Vaisselle et autres articles pour le service de la table ou de la cuisine, en matières plastiques</v>
      </c>
      <c r="C3665">
        <v>2207961</v>
      </c>
      <c r="D3665">
        <v>1381</v>
      </c>
    </row>
    <row r="3666" spans="1:4" x14ac:dyDescent="0.25">
      <c r="A3666" t="str">
        <f>T("   392490")</f>
        <v xml:space="preserve">   392490</v>
      </c>
      <c r="B3666" t="s">
        <v>145</v>
      </c>
      <c r="C3666">
        <v>1590629</v>
      </c>
      <c r="D3666">
        <v>2824</v>
      </c>
    </row>
    <row r="3667" spans="1:4" x14ac:dyDescent="0.25">
      <c r="A3667" t="str">
        <f>T("   392510")</f>
        <v xml:space="preserve">   392510</v>
      </c>
      <c r="B3667" t="str">
        <f>T("   Réservoirs, foudres, cuves et récipients analogues, en matières plastiques, d'une contenance &gt; 300 l")</f>
        <v xml:space="preserve">   Réservoirs, foudres, cuves et récipients analogues, en matières plastiques, d'une contenance &gt; 300 l</v>
      </c>
      <c r="C3667">
        <v>396968</v>
      </c>
      <c r="D3667">
        <v>198</v>
      </c>
    </row>
    <row r="3668" spans="1:4" x14ac:dyDescent="0.25">
      <c r="A3668" t="str">
        <f>T("   392590")</f>
        <v xml:space="preserve">   392590</v>
      </c>
      <c r="B3668" t="s">
        <v>146</v>
      </c>
      <c r="C3668">
        <v>760684</v>
      </c>
      <c r="D3668">
        <v>273.13</v>
      </c>
    </row>
    <row r="3669" spans="1:4" x14ac:dyDescent="0.25">
      <c r="A3669" t="str">
        <f>T("   392610")</f>
        <v xml:space="preserve">   392610</v>
      </c>
      <c r="B3669" t="str">
        <f>T("   Articles de bureau et articles scolaires, en matières plastiques, n.d.a.")</f>
        <v xml:space="preserve">   Articles de bureau et articles scolaires, en matières plastiques, n.d.a.</v>
      </c>
      <c r="C3669">
        <v>70000</v>
      </c>
      <c r="D3669">
        <v>1500</v>
      </c>
    </row>
    <row r="3670" spans="1:4" x14ac:dyDescent="0.25">
      <c r="A3670" t="str">
        <f>T("   392690")</f>
        <v xml:space="preserve">   392690</v>
      </c>
      <c r="B3670" t="str">
        <f>T("   Ouvrages en matières plastiques et ouvrages en autres matières du n° 3901 à 3914, n.d.a.")</f>
        <v xml:space="preserve">   Ouvrages en matières plastiques et ouvrages en autres matières du n° 3901 à 3914, n.d.a.</v>
      </c>
      <c r="C3670">
        <v>2164386</v>
      </c>
      <c r="D3670">
        <v>8567</v>
      </c>
    </row>
    <row r="3671" spans="1:4" x14ac:dyDescent="0.25">
      <c r="A3671" t="str">
        <f>T("   401220")</f>
        <v xml:space="preserve">   401220</v>
      </c>
      <c r="B3671" t="str">
        <f>T("   Pneumatiques usagés, en caoutchouc")</f>
        <v xml:space="preserve">   Pneumatiques usagés, en caoutchouc</v>
      </c>
      <c r="C3671">
        <v>5495633</v>
      </c>
      <c r="D3671">
        <v>11775</v>
      </c>
    </row>
    <row r="3672" spans="1:4" x14ac:dyDescent="0.25">
      <c r="A3672" t="str">
        <f>T("   401590")</f>
        <v xml:space="preserve">   401590</v>
      </c>
      <c r="B3672" t="str">
        <f>T("   Vêtements et accessoires du vêtement en caoutchouc vulcanisé non durci, pour tous usages (à l'excl. des gants, mitaines et moufles, des chaussures ou des coiffures ainsi que des parties de chaussures ou de coiffures)")</f>
        <v xml:space="preserve">   Vêtements et accessoires du vêtement en caoutchouc vulcanisé non durci, pour tous usages (à l'excl. des gants, mitaines et moufles, des chaussures ou des coiffures ainsi que des parties de chaussures ou de coiffures)</v>
      </c>
      <c r="C3672">
        <v>1554560</v>
      </c>
      <c r="D3672">
        <v>302</v>
      </c>
    </row>
    <row r="3673" spans="1:4" x14ac:dyDescent="0.25">
      <c r="A3673" t="str">
        <f>T("   401693")</f>
        <v xml:space="preserve">   401693</v>
      </c>
      <c r="B3673" t="str">
        <f>T("   Joints en caoutchouc vulcanisé non durci (à l'excl. des articles en caoutchouc alvéolaire)")</f>
        <v xml:space="preserve">   Joints en caoutchouc vulcanisé non durci (à l'excl. des articles en caoutchouc alvéolaire)</v>
      </c>
      <c r="C3673">
        <v>62979</v>
      </c>
      <c r="D3673">
        <v>11</v>
      </c>
    </row>
    <row r="3674" spans="1:4" x14ac:dyDescent="0.25">
      <c r="A3674" t="str">
        <f>T("   401699")</f>
        <v xml:space="preserve">   401699</v>
      </c>
      <c r="B3674" t="str">
        <f>T("   OUVRAGES EN CAOUTCHOUC VULCANISÉ NON-DURCI, N.D.A.")</f>
        <v xml:space="preserve">   OUVRAGES EN CAOUTCHOUC VULCANISÉ NON-DURCI, N.D.A.</v>
      </c>
      <c r="C3674">
        <v>607420</v>
      </c>
      <c r="D3674">
        <v>180</v>
      </c>
    </row>
    <row r="3675" spans="1:4" x14ac:dyDescent="0.25">
      <c r="A3675" t="str">
        <f>T("   420229")</f>
        <v xml:space="preserve">   420229</v>
      </c>
      <c r="B3675" t="str">
        <f>T("   Sacs à main, même à bandoulière, y.c. ceux sans poignée, à surface extérieure en fibre vulcanisée ou en carton, ou recouverts, en totalité ou en majeure partie, de ces mêmes matières ou de papier")</f>
        <v xml:space="preserve">   Sacs à main, même à bandoulière, y.c. ceux sans poignée, à surface extérieure en fibre vulcanisée ou en carton, ou recouverts, en totalité ou en majeure partie, de ces mêmes matières ou de papier</v>
      </c>
      <c r="C3675">
        <v>655960</v>
      </c>
      <c r="D3675">
        <v>2739</v>
      </c>
    </row>
    <row r="3676" spans="1:4" x14ac:dyDescent="0.25">
      <c r="A3676" t="str">
        <f>T("   420239")</f>
        <v xml:space="preserve">   420239</v>
      </c>
      <c r="B3676" t="s">
        <v>162</v>
      </c>
      <c r="C3676">
        <v>673487</v>
      </c>
      <c r="D3676">
        <v>134</v>
      </c>
    </row>
    <row r="3677" spans="1:4" x14ac:dyDescent="0.25">
      <c r="A3677" t="str">
        <f>T("   420299")</f>
        <v xml:space="preserve">   420299</v>
      </c>
      <c r="B3677" t="s">
        <v>164</v>
      </c>
      <c r="C3677">
        <v>143524</v>
      </c>
      <c r="D3677">
        <v>236</v>
      </c>
    </row>
    <row r="3678" spans="1:4" x14ac:dyDescent="0.25">
      <c r="A3678" t="str">
        <f>T("   441810")</f>
        <v xml:space="preserve">   441810</v>
      </c>
      <c r="B3678" t="str">
        <f>T("   Fenêtres, portes-fenêtres et leurs cadres et chambranles, en bois")</f>
        <v xml:space="preserve">   Fenêtres, portes-fenêtres et leurs cadres et chambranles, en bois</v>
      </c>
      <c r="C3678">
        <v>2732073</v>
      </c>
      <c r="D3678">
        <v>5600</v>
      </c>
    </row>
    <row r="3679" spans="1:4" x14ac:dyDescent="0.25">
      <c r="A3679" t="str">
        <f>T("   441890")</f>
        <v xml:space="preserve">   441890</v>
      </c>
      <c r="B3679" t="s">
        <v>182</v>
      </c>
      <c r="C3679">
        <v>52188</v>
      </c>
      <c r="D3679">
        <v>1000</v>
      </c>
    </row>
    <row r="3680" spans="1:4" x14ac:dyDescent="0.25">
      <c r="A3680" t="str">
        <f>T("   442090")</f>
        <v xml:space="preserve">   442090</v>
      </c>
      <c r="B3680" t="s">
        <v>184</v>
      </c>
      <c r="C3680">
        <v>40014</v>
      </c>
      <c r="D3680">
        <v>65</v>
      </c>
    </row>
    <row r="3681" spans="1:4" x14ac:dyDescent="0.25">
      <c r="A3681" t="str">
        <f>T("   442190")</f>
        <v xml:space="preserve">   442190</v>
      </c>
      <c r="B3681" t="str">
        <f>T("   Ouvrages, en bois, n.d.a.")</f>
        <v xml:space="preserve">   Ouvrages, en bois, n.d.a.</v>
      </c>
      <c r="C3681">
        <v>472021</v>
      </c>
      <c r="D3681">
        <v>3264</v>
      </c>
    </row>
    <row r="3682" spans="1:4" x14ac:dyDescent="0.25">
      <c r="A3682" t="str">
        <f>T("   481820")</f>
        <v xml:space="preserve">   481820</v>
      </c>
      <c r="B3682" t="str">
        <f>T("   Mouchoirs, serviettes à démaquiller et essuie-mains, en pâte à papier, papier, ouate de cellulose ou nappes de fibres de cellulose")</f>
        <v xml:space="preserve">   Mouchoirs, serviettes à démaquiller et essuie-mains, en pâte à papier, papier, ouate de cellulose ou nappes de fibres de cellulose</v>
      </c>
      <c r="C3682">
        <v>1070527</v>
      </c>
      <c r="D3682">
        <v>1200</v>
      </c>
    </row>
    <row r="3683" spans="1:4" x14ac:dyDescent="0.25">
      <c r="A3683" t="str">
        <f>T("   481840")</f>
        <v xml:space="preserve">   481840</v>
      </c>
      <c r="B3683" t="str">
        <f>T("   Serviettes et tampons hygiéniques, couches pour bébés et articles hygiéniques simil., en pâte à papier, papier, ouate de cellulose ou nappes de fibres de cellulose")</f>
        <v xml:space="preserve">   Serviettes et tampons hygiéniques, couches pour bébés et articles hygiéniques simil., en pâte à papier, papier, ouate de cellulose ou nappes de fibres de cellulose</v>
      </c>
      <c r="C3683">
        <v>12020000</v>
      </c>
      <c r="D3683">
        <v>18627</v>
      </c>
    </row>
    <row r="3684" spans="1:4" x14ac:dyDescent="0.25">
      <c r="A3684" t="str">
        <f>T("   481910")</f>
        <v xml:space="preserve">   481910</v>
      </c>
      <c r="B3684" t="str">
        <f>T("   Boîtes et caisses en papier ou en carton ondulé")</f>
        <v xml:space="preserve">   Boîtes et caisses en papier ou en carton ondulé</v>
      </c>
      <c r="C3684">
        <v>2030701</v>
      </c>
      <c r="D3684">
        <v>16273</v>
      </c>
    </row>
    <row r="3685" spans="1:4" x14ac:dyDescent="0.25">
      <c r="A3685" t="str">
        <f>T("   481920")</f>
        <v xml:space="preserve">   481920</v>
      </c>
      <c r="B3685" t="str">
        <f>T("   Boîtes et cartonnages, pliants, en papier ou en carton non ondulé")</f>
        <v xml:space="preserve">   Boîtes et cartonnages, pliants, en papier ou en carton non ondulé</v>
      </c>
      <c r="C3685">
        <v>191897</v>
      </c>
      <c r="D3685">
        <v>1734</v>
      </c>
    </row>
    <row r="3686" spans="1:4" x14ac:dyDescent="0.25">
      <c r="A3686" t="str">
        <f>T("   481930")</f>
        <v xml:space="preserve">   481930</v>
      </c>
      <c r="B3686" t="str">
        <f>T("   Sacs, en papier, carton, ouate de cellulose ou nappes de fibres de cellulose, d'une largeur à la base &gt;= 40 cm")</f>
        <v xml:space="preserve">   Sacs, en papier, carton, ouate de cellulose ou nappes de fibres de cellulose, d'une largeur à la base &gt;= 40 cm</v>
      </c>
      <c r="C3686">
        <v>116402726</v>
      </c>
      <c r="D3686">
        <v>176920</v>
      </c>
    </row>
    <row r="3687" spans="1:4" x14ac:dyDescent="0.25">
      <c r="A3687" t="str">
        <f>T("   481940")</f>
        <v xml:space="preserve">   481940</v>
      </c>
      <c r="B3687" t="str">
        <f>T("   Sacs, sachets, pochettes et cornets, en papier, carton, ouate de cellulose ou nappes de fibres de cellulose (à l'excl. des pochettes pour disques et des sacs d'une largeur à la base &gt;= 40 cm)")</f>
        <v xml:space="preserve">   Sacs, sachets, pochettes et cornets, en papier, carton, ouate de cellulose ou nappes de fibres de cellulose (à l'excl. des pochettes pour disques et des sacs d'une largeur à la base &gt;= 40 cm)</v>
      </c>
      <c r="C3687">
        <v>146202</v>
      </c>
      <c r="D3687">
        <v>50</v>
      </c>
    </row>
    <row r="3688" spans="1:4" x14ac:dyDescent="0.25">
      <c r="A3688" t="str">
        <f>T("   482090")</f>
        <v xml:space="preserve">   482090</v>
      </c>
      <c r="B3688" t="s">
        <v>217</v>
      </c>
      <c r="C3688">
        <v>134819</v>
      </c>
      <c r="D3688">
        <v>900</v>
      </c>
    </row>
    <row r="3689" spans="1:4" x14ac:dyDescent="0.25">
      <c r="A3689" t="str">
        <f>T("   482190")</f>
        <v xml:space="preserve">   482190</v>
      </c>
      <c r="B3689" t="str">
        <f>T("   ÉTIQUETTES DE TOUS GENRES, EN PAPIER OU EN CARTON, NON-IMPRIMÉES")</f>
        <v xml:space="preserve">   ÉTIQUETTES DE TOUS GENRES, EN PAPIER OU EN CARTON, NON-IMPRIMÉES</v>
      </c>
      <c r="C3689">
        <v>1587423</v>
      </c>
      <c r="D3689">
        <v>1264</v>
      </c>
    </row>
    <row r="3690" spans="1:4" x14ac:dyDescent="0.25">
      <c r="A3690" t="str">
        <f>T("   490199")</f>
        <v xml:space="preserve">   490199</v>
      </c>
      <c r="B3690"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3690">
        <v>5504682</v>
      </c>
      <c r="D3690">
        <v>19401</v>
      </c>
    </row>
    <row r="3691" spans="1:4" x14ac:dyDescent="0.25">
      <c r="A3691" t="str">
        <f>T("   490599")</f>
        <v xml:space="preserve">   490599</v>
      </c>
      <c r="B3691" t="str">
        <f>T("   Ouvrages cartographiques de tous genres, y.c. les cartes murales et les plans topographiques, imprimés (à l'excl. des cartes et plans en relief, des globes ainsi que des ouvrages cartographiques sous forme de livres ou de brochures)")</f>
        <v xml:space="preserve">   Ouvrages cartographiques de tous genres, y.c. les cartes murales et les plans topographiques, imprimés (à l'excl. des cartes et plans en relief, des globes ainsi que des ouvrages cartographiques sous forme de livres ou de brochures)</v>
      </c>
      <c r="C3691">
        <v>12109022</v>
      </c>
      <c r="D3691">
        <v>690</v>
      </c>
    </row>
    <row r="3692" spans="1:4" x14ac:dyDescent="0.25">
      <c r="A3692" t="str">
        <f>T("   491000")</f>
        <v xml:space="preserve">   491000</v>
      </c>
      <c r="B3692" t="str">
        <f>T("   Calendriers de tous genres, imprimés, y.c. les blocs de calendriers à effeuiller")</f>
        <v xml:space="preserve">   Calendriers de tous genres, imprimés, y.c. les blocs de calendriers à effeuiller</v>
      </c>
      <c r="C3692">
        <v>3008113</v>
      </c>
      <c r="D3692">
        <v>822</v>
      </c>
    </row>
    <row r="3693" spans="1:4" x14ac:dyDescent="0.25">
      <c r="A3693" t="str">
        <f>T("   491110")</f>
        <v xml:space="preserve">   491110</v>
      </c>
      <c r="B3693" t="str">
        <f>T("   Imprimés publicitaires, catalogues commerciaux et simil.")</f>
        <v xml:space="preserve">   Imprimés publicitaires, catalogues commerciaux et simil.</v>
      </c>
      <c r="C3693">
        <v>81263</v>
      </c>
      <c r="D3693">
        <v>1068</v>
      </c>
    </row>
    <row r="3694" spans="1:4" x14ac:dyDescent="0.25">
      <c r="A3694" t="str">
        <f>T("   491191")</f>
        <v xml:space="preserve">   491191</v>
      </c>
      <c r="B3694" t="str">
        <f>T("   Images, gravures et photographies, n.d.a.")</f>
        <v xml:space="preserve">   Images, gravures et photographies, n.d.a.</v>
      </c>
      <c r="C3694">
        <v>39384</v>
      </c>
      <c r="D3694">
        <v>1</v>
      </c>
    </row>
    <row r="3695" spans="1:4" x14ac:dyDescent="0.25">
      <c r="A3695" t="str">
        <f>T("   491199")</f>
        <v xml:space="preserve">   491199</v>
      </c>
      <c r="B3695" t="str">
        <f>T("   Imprimés, n.d.a.")</f>
        <v xml:space="preserve">   Imprimés, n.d.a.</v>
      </c>
      <c r="C3695">
        <v>26423381</v>
      </c>
      <c r="D3695">
        <v>5480</v>
      </c>
    </row>
    <row r="3696" spans="1:4" x14ac:dyDescent="0.25">
      <c r="A3696" t="str">
        <f>T("   560110")</f>
        <v xml:space="preserve">   560110</v>
      </c>
      <c r="B3696" t="str">
        <f>T("   Serviettes et tampons hygiéniques, couches pour bébés et articles hygiéniques simil., en ouates")</f>
        <v xml:space="preserve">   Serviettes et tampons hygiéniques, couches pour bébés et articles hygiéniques simil., en ouates</v>
      </c>
      <c r="C3696">
        <v>7837853</v>
      </c>
      <c r="D3696">
        <v>16171</v>
      </c>
    </row>
    <row r="3697" spans="1:4" x14ac:dyDescent="0.25">
      <c r="A3697" t="str">
        <f>T("   610590")</f>
        <v xml:space="preserve">   610590</v>
      </c>
      <c r="B3697" t="str">
        <f>T("   Chemises et chemisettes, en bonneterie, de matières textiles, pour hommes ou garçonnets (sauf de coton, fibres synthétiques ou artificielles et sauf chemises de nuit, T-shirts et maillots de corps)")</f>
        <v xml:space="preserve">   Chemises et chemisettes, en bonneterie, de matières textiles, pour hommes ou garçonnets (sauf de coton, fibres synthétiques ou artificielles et sauf chemises de nuit, T-shirts et maillots de corps)</v>
      </c>
      <c r="C3697">
        <v>98394</v>
      </c>
      <c r="D3697">
        <v>70</v>
      </c>
    </row>
    <row r="3698" spans="1:4" x14ac:dyDescent="0.25">
      <c r="A3698" t="str">
        <f>T("   610690")</f>
        <v xml:space="preserve">   610690</v>
      </c>
      <c r="B3698" t="str">
        <f>T("   Chemisiers, blouses, blouses-chemisiers et chemisettes, en bonneterie, de matières textiles, pour femmes ou fillettes (sauf de coton, fibres synthétiques ou artificielles et sauf T-shirts et gilets de corps)")</f>
        <v xml:space="preserve">   Chemisiers, blouses, blouses-chemisiers et chemisettes, en bonneterie, de matières textiles, pour femmes ou fillettes (sauf de coton, fibres synthétiques ou artificielles et sauf T-shirts et gilets de corps)</v>
      </c>
      <c r="C3698">
        <v>2290</v>
      </c>
      <c r="D3698">
        <v>3</v>
      </c>
    </row>
    <row r="3699" spans="1:4" x14ac:dyDescent="0.25">
      <c r="A3699" t="str">
        <f>T("   610910")</f>
        <v xml:space="preserve">   610910</v>
      </c>
      <c r="B3699" t="str">
        <f>T("   T-shirts et maillots de corps, en bonneterie, de coton,")</f>
        <v xml:space="preserve">   T-shirts et maillots de corps, en bonneterie, de coton,</v>
      </c>
      <c r="C3699">
        <v>39627</v>
      </c>
      <c r="D3699">
        <v>83</v>
      </c>
    </row>
    <row r="3700" spans="1:4" x14ac:dyDescent="0.25">
      <c r="A3700" t="str">
        <f>T("   610990")</f>
        <v xml:space="preserve">   610990</v>
      </c>
      <c r="B3700" t="str">
        <f>T("   T-shirts et maillots de corps, en bonneterie, de matières textiles (sauf de coton)")</f>
        <v xml:space="preserve">   T-shirts et maillots de corps, en bonneterie, de matières textiles (sauf de coton)</v>
      </c>
      <c r="C3700">
        <v>25990</v>
      </c>
      <c r="D3700">
        <v>1</v>
      </c>
    </row>
    <row r="3701" spans="1:4" x14ac:dyDescent="0.25">
      <c r="A3701" t="str">
        <f>T("   611090")</f>
        <v xml:space="preserve">   611090</v>
      </c>
      <c r="B3701" t="str">
        <f>T("   Chandails, pull-overs, cardigans, gilets et articles simil., y.c. les sous-pulls, en bonneterie, de matières textiles (sauf de laine, poils fins, coton, fibres synthétiques ou artificielles et sauf gilets ouatinés)")</f>
        <v xml:space="preserve">   Chandails, pull-overs, cardigans, gilets et articles simil., y.c. les sous-pulls, en bonneterie, de matières textiles (sauf de laine, poils fins, coton, fibres synthétiques ou artificielles et sauf gilets ouatinés)</v>
      </c>
      <c r="C3701">
        <v>4009763</v>
      </c>
      <c r="D3701">
        <v>1800</v>
      </c>
    </row>
    <row r="3702" spans="1:4" x14ac:dyDescent="0.25">
      <c r="A3702" t="str">
        <f>T("   620520")</f>
        <v xml:space="preserve">   620520</v>
      </c>
      <c r="B3702" t="str">
        <f>T("   Chemises et chemisettes, de coton, pour hommes ou garçonnets (autres qu'en bonneterie et sauf chemises de nuit et gilets de corps)")</f>
        <v xml:space="preserve">   Chemises et chemisettes, de coton, pour hommes ou garçonnets (autres qu'en bonneterie et sauf chemises de nuit et gilets de corps)</v>
      </c>
      <c r="C3702">
        <v>39357</v>
      </c>
      <c r="D3702">
        <v>30</v>
      </c>
    </row>
    <row r="3703" spans="1:4" x14ac:dyDescent="0.25">
      <c r="A3703" t="str">
        <f>T("   620630")</f>
        <v xml:space="preserve">   620630</v>
      </c>
      <c r="B3703" t="str">
        <f>T("   Chemisiers, blouses, blouses-chemisiers et chemisettes, de coton, pour femmes ou fillettes (autres qu'en bonneterie et sauf gilets de corps et chemises de jour)")</f>
        <v xml:space="preserve">   Chemisiers, blouses, blouses-chemisiers et chemisettes, de coton, pour femmes ou fillettes (autres qu'en bonneterie et sauf gilets de corps et chemises de jour)</v>
      </c>
      <c r="C3703">
        <v>58380</v>
      </c>
      <c r="D3703">
        <v>51</v>
      </c>
    </row>
    <row r="3704" spans="1:4" x14ac:dyDescent="0.25">
      <c r="A3704" t="str">
        <f>T("   621040")</f>
        <v xml:space="preserve">   621040</v>
      </c>
      <c r="B3704" t="s">
        <v>272</v>
      </c>
      <c r="C3704">
        <v>8324052</v>
      </c>
      <c r="D3704">
        <v>26103</v>
      </c>
    </row>
    <row r="3705" spans="1:4" x14ac:dyDescent="0.25">
      <c r="A3705" t="str">
        <f>T("   621390")</f>
        <v xml:space="preserve">   621390</v>
      </c>
      <c r="B3705" t="str">
        <f>T("   Mouchoirs et pochettes dont un côté &lt;= 60 cm, de matières textiles (autres que de soie et déchets de soie ou coton, autres qu'en bonneterie)")</f>
        <v xml:space="preserve">   Mouchoirs et pochettes dont un côté &lt;= 60 cm, de matières textiles (autres que de soie et déchets de soie ou coton, autres qu'en bonneterie)</v>
      </c>
      <c r="C3705">
        <v>13119</v>
      </c>
      <c r="D3705">
        <v>29</v>
      </c>
    </row>
    <row r="3706" spans="1:4" x14ac:dyDescent="0.25">
      <c r="A3706" t="str">
        <f>T("   621600")</f>
        <v xml:space="preserve">   621600</v>
      </c>
      <c r="B3706" t="str">
        <f>T("   Gants, mitaines et moufles, en tous types de matières textiles (autres qu'en bonneterie et sauf gants pour bébés)")</f>
        <v xml:space="preserve">   Gants, mitaines et moufles, en tous types de matières textiles (autres qu'en bonneterie et sauf gants pour bébés)</v>
      </c>
      <c r="C3706">
        <v>3270000</v>
      </c>
      <c r="D3706">
        <v>20000</v>
      </c>
    </row>
    <row r="3707" spans="1:4" x14ac:dyDescent="0.25">
      <c r="A3707" t="str">
        <f>T("   630319")</f>
        <v xml:space="preserve">   630319</v>
      </c>
      <c r="B3707" t="str">
        <f>T("   Vitrages, rideaux et stores d'intérieur ainsi que cantonnières et tours de lit, en bonneterie (autres que de coton et fibres synthétiques et autres que stores d'extérieur)")</f>
        <v xml:space="preserve">   Vitrages, rideaux et stores d'intérieur ainsi que cantonnières et tours de lit, en bonneterie (autres que de coton et fibres synthétiques et autres que stores d'extérieur)</v>
      </c>
      <c r="C3707">
        <v>97000</v>
      </c>
      <c r="D3707">
        <v>1000</v>
      </c>
    </row>
    <row r="3708" spans="1:4" x14ac:dyDescent="0.25">
      <c r="A3708" t="str">
        <f>T("   630532")</f>
        <v xml:space="preserve">   630532</v>
      </c>
      <c r="B3708" t="str">
        <f>T("   Contenants souples d'emballage pour matières en vrac, de matières textiles synthétiques ou artificielles")</f>
        <v xml:space="preserve">   Contenants souples d'emballage pour matières en vrac, de matières textiles synthétiques ou artificielles</v>
      </c>
      <c r="C3708">
        <v>7073348</v>
      </c>
      <c r="D3708">
        <v>1500</v>
      </c>
    </row>
    <row r="3709" spans="1:4" x14ac:dyDescent="0.25">
      <c r="A3709" t="str">
        <f>T("   630900")</f>
        <v xml:space="preserve">   630900</v>
      </c>
      <c r="B3709" t="s">
        <v>280</v>
      </c>
      <c r="C3709">
        <v>203486352</v>
      </c>
      <c r="D3709">
        <v>354959</v>
      </c>
    </row>
    <row r="3710" spans="1:4" x14ac:dyDescent="0.25">
      <c r="A3710" t="str">
        <f>T("   640220")</f>
        <v xml:space="preserve">   640220</v>
      </c>
      <c r="B3710" t="str">
        <f>T("   Chaussures à semelles extérieures et dessus en caoutchouc ou en matière plastique, à dessus en lanières ou brides fixées à la semelle par des tétons (sauf chaussures ayant le caractère de jouets)")</f>
        <v xml:space="preserve">   Chaussures à semelles extérieures et dessus en caoutchouc ou en matière plastique, à dessus en lanières ou brides fixées à la semelle par des tétons (sauf chaussures ayant le caractère de jouets)</v>
      </c>
      <c r="C3710">
        <v>671090</v>
      </c>
      <c r="D3710">
        <v>125</v>
      </c>
    </row>
    <row r="3711" spans="1:4" x14ac:dyDescent="0.25">
      <c r="A3711" t="str">
        <f>T("   640590")</f>
        <v xml:space="preserve">   640590</v>
      </c>
      <c r="B3711" t="s">
        <v>290</v>
      </c>
      <c r="C3711">
        <v>147591</v>
      </c>
      <c r="D3711">
        <v>500</v>
      </c>
    </row>
    <row r="3712" spans="1:4" x14ac:dyDescent="0.25">
      <c r="A3712" t="str">
        <f>T("   650590")</f>
        <v xml:space="preserve">   650590</v>
      </c>
      <c r="B3712" t="s">
        <v>291</v>
      </c>
      <c r="C3712">
        <v>42184</v>
      </c>
      <c r="D3712">
        <v>28</v>
      </c>
    </row>
    <row r="3713" spans="1:4" x14ac:dyDescent="0.25">
      <c r="A3713" t="str">
        <f>T("   660110")</f>
        <v xml:space="preserve">   660110</v>
      </c>
      <c r="B3713" t="str">
        <f>T("   Parasols de jardin et articles simil. (sauf tentes de plage)")</f>
        <v xml:space="preserve">   Parasols de jardin et articles simil. (sauf tentes de plage)</v>
      </c>
      <c r="C3713">
        <v>40315</v>
      </c>
      <c r="D3713">
        <v>18</v>
      </c>
    </row>
    <row r="3714" spans="1:4" x14ac:dyDescent="0.25">
      <c r="A3714" t="str">
        <f>T("   660390")</f>
        <v xml:space="preserve">   660390</v>
      </c>
      <c r="B3714" t="str">
        <f>T("   PARTIES, GARNITURES ET ACCESSOIRES RECONNAISSABLES COMME ÉTANT DESTINÉS AUX PARAPLUIES, OMBRELLES ET PARASOLS DU N° 6601 OU AUX CANNES, CANNES-SIÈGES, FOUETS, CRAVACHES ET ARTICLES SIMIL. DU N° 6602 (SAUF MONTURES ASSEMBLÉES MÊME AVEC MÂTS OU MANCHES)")</f>
        <v xml:space="preserve">   PARTIES, GARNITURES ET ACCESSOIRES RECONNAISSABLES COMME ÉTANT DESTINÉS AUX PARAPLUIES, OMBRELLES ET PARASOLS DU N° 6601 OU AUX CANNES, CANNES-SIÈGES, FOUETS, CRAVACHES ET ARTICLES SIMIL. DU N° 6602 (SAUF MONTURES ASSEMBLÉES MÊME AVEC MÂTS OU MANCHES)</v>
      </c>
      <c r="C3714">
        <v>11807</v>
      </c>
      <c r="D3714">
        <v>10</v>
      </c>
    </row>
    <row r="3715" spans="1:4" x14ac:dyDescent="0.25">
      <c r="A3715" t="str">
        <f>T("   680221")</f>
        <v xml:space="preserve">   680221</v>
      </c>
      <c r="B3715" t="s">
        <v>294</v>
      </c>
      <c r="C3715">
        <v>21695287</v>
      </c>
      <c r="D3715">
        <v>119000</v>
      </c>
    </row>
    <row r="3716" spans="1:4" x14ac:dyDescent="0.25">
      <c r="A3716" t="str">
        <f>T("   680291")</f>
        <v xml:space="preserve">   680291</v>
      </c>
      <c r="B3716" t="s">
        <v>296</v>
      </c>
      <c r="C3716">
        <v>10017349</v>
      </c>
      <c r="D3716">
        <v>48000</v>
      </c>
    </row>
    <row r="3717" spans="1:4" x14ac:dyDescent="0.25">
      <c r="A3717" t="str">
        <f>T("   680690")</f>
        <v xml:space="preserve">   680690</v>
      </c>
      <c r="B3717" t="s">
        <v>299</v>
      </c>
      <c r="C3717">
        <v>79977268</v>
      </c>
      <c r="D3717">
        <v>48574</v>
      </c>
    </row>
    <row r="3718" spans="1:4" x14ac:dyDescent="0.25">
      <c r="A3718" t="str">
        <f>T("   680710")</f>
        <v xml:space="preserve">   680710</v>
      </c>
      <c r="B3718" t="str">
        <f>T("   Ouvrages en asphalte ou en produits simil., p.ex. poix de pétrole, brais, en rouleaux")</f>
        <v xml:space="preserve">   Ouvrages en asphalte ou en produits simil., p.ex. poix de pétrole, brais, en rouleaux</v>
      </c>
      <c r="C3718">
        <v>41916244</v>
      </c>
      <c r="D3718">
        <v>118230</v>
      </c>
    </row>
    <row r="3719" spans="1:4" x14ac:dyDescent="0.25">
      <c r="A3719" t="str">
        <f>T("   680990")</f>
        <v xml:space="preserve">   680990</v>
      </c>
      <c r="B3719" t="s">
        <v>302</v>
      </c>
      <c r="C3719">
        <v>7767301</v>
      </c>
      <c r="D3719">
        <v>30759</v>
      </c>
    </row>
    <row r="3720" spans="1:4" x14ac:dyDescent="0.25">
      <c r="A3720" t="str">
        <f>T("   681110")</f>
        <v xml:space="preserve">   681110</v>
      </c>
      <c r="B3720" t="str">
        <f>T("   Plaques ondulées en amiante-ciment, cellulose-ciment ou simil.")</f>
        <v xml:space="preserve">   Plaques ondulées en amiante-ciment, cellulose-ciment ou simil.</v>
      </c>
      <c r="C3720">
        <v>811423</v>
      </c>
      <c r="D3720">
        <v>1067</v>
      </c>
    </row>
    <row r="3721" spans="1:4" x14ac:dyDescent="0.25">
      <c r="A3721" t="str">
        <f>T("   690220")</f>
        <v xml:space="preserve">   690220</v>
      </c>
      <c r="B3721" t="s">
        <v>305</v>
      </c>
      <c r="C3721">
        <v>33513653</v>
      </c>
      <c r="D3721">
        <v>86701</v>
      </c>
    </row>
    <row r="3722" spans="1:4" x14ac:dyDescent="0.25">
      <c r="A3722" t="str">
        <f>T("   690290")</f>
        <v xml:space="preserve">   690290</v>
      </c>
      <c r="B3722" t="s">
        <v>306</v>
      </c>
      <c r="C3722">
        <v>11475364</v>
      </c>
      <c r="D3722">
        <v>16083</v>
      </c>
    </row>
    <row r="3723" spans="1:4" x14ac:dyDescent="0.25">
      <c r="A3723" t="str">
        <f>T("   690510")</f>
        <v xml:space="preserve">   690510</v>
      </c>
      <c r="B3723" t="str">
        <f>T("   Tuiles")</f>
        <v xml:space="preserve">   Tuiles</v>
      </c>
      <c r="C3723">
        <v>27404586</v>
      </c>
      <c r="D3723">
        <v>283317</v>
      </c>
    </row>
    <row r="3724" spans="1:4" x14ac:dyDescent="0.25">
      <c r="A3724" t="str">
        <f>T("   690790")</f>
        <v xml:space="preserve">   690790</v>
      </c>
      <c r="B3724" t="s">
        <v>310</v>
      </c>
      <c r="C3724">
        <v>3001018</v>
      </c>
      <c r="D3724">
        <v>24400</v>
      </c>
    </row>
    <row r="3725" spans="1:4" x14ac:dyDescent="0.25">
      <c r="A3725" t="str">
        <f>T("   690810")</f>
        <v xml:space="preserve">   690810</v>
      </c>
      <c r="B3725" t="str">
        <f>T("   Carreaux, cubes, dés et simil., en céramique, pour mosaïques, vernissés ou émaillés, même de forme autre que carrée ou rectangulaire, dont la plus grande surface peut être inscrite dans un carré de côté &lt; 7 cm, même sur support")</f>
        <v xml:space="preserve">   Carreaux, cubes, dés et simil., en céramique, pour mosaïques, vernissés ou émaillés, même de forme autre que carrée ou rectangulaire, dont la plus grande surface peut être inscrite dans un carré de côté &lt; 7 cm, même sur support</v>
      </c>
      <c r="C3725">
        <v>3628029</v>
      </c>
      <c r="D3725">
        <v>24245</v>
      </c>
    </row>
    <row r="3726" spans="1:4" x14ac:dyDescent="0.25">
      <c r="A3726" t="str">
        <f>T("   690890")</f>
        <v xml:space="preserve">   690890</v>
      </c>
      <c r="B3726" t="s">
        <v>311</v>
      </c>
      <c r="C3726">
        <v>778287077</v>
      </c>
      <c r="D3726">
        <v>4417038</v>
      </c>
    </row>
    <row r="3727" spans="1:4" x14ac:dyDescent="0.25">
      <c r="A3727" t="str">
        <f>T("   691010")</f>
        <v xml:space="preserve">   691010</v>
      </c>
      <c r="B3727" t="s">
        <v>312</v>
      </c>
      <c r="C3727">
        <v>35449818</v>
      </c>
      <c r="D3727">
        <v>19829</v>
      </c>
    </row>
    <row r="3728" spans="1:4" x14ac:dyDescent="0.25">
      <c r="A3728" t="str">
        <f>T("   691090")</f>
        <v xml:space="preserve">   691090</v>
      </c>
      <c r="B3728" t="s">
        <v>313</v>
      </c>
      <c r="C3728">
        <v>43882059</v>
      </c>
      <c r="D3728">
        <v>19847</v>
      </c>
    </row>
    <row r="3729" spans="1:4" x14ac:dyDescent="0.25">
      <c r="A3729" t="str">
        <f>T("   691200")</f>
        <v xml:space="preserve">   691200</v>
      </c>
      <c r="B3729" t="s">
        <v>316</v>
      </c>
      <c r="C3729">
        <v>142311</v>
      </c>
      <c r="D3729">
        <v>665</v>
      </c>
    </row>
    <row r="3730" spans="1:4" x14ac:dyDescent="0.25">
      <c r="A3730" t="str">
        <f>T("   701090")</f>
        <v xml:space="preserve">   701090</v>
      </c>
      <c r="B3730" t="s">
        <v>323</v>
      </c>
      <c r="C3730">
        <v>959021840</v>
      </c>
      <c r="D3730">
        <v>2366489</v>
      </c>
    </row>
    <row r="3731" spans="1:4" x14ac:dyDescent="0.25">
      <c r="A3731" t="str">
        <f>T("   701339")</f>
        <v xml:space="preserve">   701339</v>
      </c>
      <c r="B3731" t="s">
        <v>327</v>
      </c>
      <c r="C3731">
        <v>481475</v>
      </c>
      <c r="D3731">
        <v>227</v>
      </c>
    </row>
    <row r="3732" spans="1:4" x14ac:dyDescent="0.25">
      <c r="A3732" t="str">
        <f>T("   701610")</f>
        <v xml:space="preserve">   701610</v>
      </c>
      <c r="B3732" t="str">
        <f>T("   Cubes, dés et autre verrerie même sur support, pour mosaïques ou décorations simil. (sauf panneaux et autres motifs décoratifs prêts à l'emploi en cubes de verre, pour mosaïques)")</f>
        <v xml:space="preserve">   Cubes, dés et autre verrerie même sur support, pour mosaïques ou décorations simil. (sauf panneaux et autres motifs décoratifs prêts à l'emploi en cubes de verre, pour mosaïques)</v>
      </c>
      <c r="C3732">
        <v>16114166</v>
      </c>
      <c r="D3732">
        <v>51707</v>
      </c>
    </row>
    <row r="3733" spans="1:4" x14ac:dyDescent="0.25">
      <c r="A3733" t="str">
        <f>T("   702000")</f>
        <v xml:space="preserve">   702000</v>
      </c>
      <c r="B3733" t="str">
        <f>T("   Ouvrages en verre n.d.a.")</f>
        <v xml:space="preserve">   Ouvrages en verre n.d.a.</v>
      </c>
      <c r="C3733">
        <v>3465924</v>
      </c>
      <c r="D3733">
        <v>3500</v>
      </c>
    </row>
    <row r="3734" spans="1:4" x14ac:dyDescent="0.25">
      <c r="A3734" t="str">
        <f>T("   711790")</f>
        <v xml:space="preserve">   711790</v>
      </c>
      <c r="B3734" t="str">
        <f>T("   Bijouterie de fantaisie (autre qu'en métaux communs, même argentés, dorés ou platinés)")</f>
        <v xml:space="preserve">   Bijouterie de fantaisie (autre qu'en métaux communs, même argentés, dorés ou platinés)</v>
      </c>
      <c r="C3734">
        <v>527285</v>
      </c>
      <c r="D3734">
        <v>15</v>
      </c>
    </row>
    <row r="3735" spans="1:4" x14ac:dyDescent="0.25">
      <c r="A3735" t="str">
        <f>T("   730890")</f>
        <v xml:space="preserve">   730890</v>
      </c>
      <c r="B3735" t="s">
        <v>349</v>
      </c>
      <c r="C3735">
        <v>52824098</v>
      </c>
      <c r="D3735">
        <v>24205</v>
      </c>
    </row>
    <row r="3736" spans="1:4" x14ac:dyDescent="0.25">
      <c r="A3736" t="str">
        <f>T("   731815")</f>
        <v xml:space="preserve">   731815</v>
      </c>
      <c r="B3736" t="s">
        <v>354</v>
      </c>
      <c r="C3736">
        <v>1251571</v>
      </c>
      <c r="D3736">
        <v>527</v>
      </c>
    </row>
    <row r="3737" spans="1:4" x14ac:dyDescent="0.25">
      <c r="A3737" t="str">
        <f>T("   731819")</f>
        <v xml:space="preserve">   731819</v>
      </c>
      <c r="B3737" t="str">
        <f>T("   Articles de boulonnerie et de visserie, filetés, en fonte, fer ou acier, n.d.a.")</f>
        <v xml:space="preserve">   Articles de boulonnerie et de visserie, filetés, en fonte, fer ou acier, n.d.a.</v>
      </c>
      <c r="C3737">
        <v>4535308</v>
      </c>
      <c r="D3737">
        <v>759</v>
      </c>
    </row>
    <row r="3738" spans="1:4" x14ac:dyDescent="0.25">
      <c r="A3738" t="str">
        <f>T("   732112")</f>
        <v xml:space="preserve">   732112</v>
      </c>
      <c r="B3738" t="s">
        <v>357</v>
      </c>
      <c r="C3738">
        <v>332558</v>
      </c>
      <c r="D3738">
        <v>2282</v>
      </c>
    </row>
    <row r="3739" spans="1:4" x14ac:dyDescent="0.25">
      <c r="A3739" t="str">
        <f>T("   732399")</f>
        <v xml:space="preserve">   732399</v>
      </c>
      <c r="B3739" t="s">
        <v>362</v>
      </c>
      <c r="C3739">
        <v>1281576</v>
      </c>
      <c r="D3739">
        <v>5843</v>
      </c>
    </row>
    <row r="3740" spans="1:4" x14ac:dyDescent="0.25">
      <c r="A3740" t="str">
        <f>T("   732410")</f>
        <v xml:space="preserve">   732410</v>
      </c>
      <c r="B3740" t="str">
        <f>T("   ÉVIERS ET LAVABOS EN ACIER INOXYDABLE")</f>
        <v xml:space="preserve">   ÉVIERS ET LAVABOS EN ACIER INOXYDABLE</v>
      </c>
      <c r="C3740">
        <v>4805563</v>
      </c>
      <c r="D3740">
        <v>1591</v>
      </c>
    </row>
    <row r="3741" spans="1:4" x14ac:dyDescent="0.25">
      <c r="A3741" t="str">
        <f>T("   732429")</f>
        <v xml:space="preserve">   732429</v>
      </c>
      <c r="B3741" t="str">
        <f>T("   Baignoires en tôle d'acier")</f>
        <v xml:space="preserve">   Baignoires en tôle d'acier</v>
      </c>
      <c r="C3741">
        <v>2375795</v>
      </c>
      <c r="D3741">
        <v>378</v>
      </c>
    </row>
    <row r="3742" spans="1:4" x14ac:dyDescent="0.25">
      <c r="A3742" t="str">
        <f>T("   732490")</f>
        <v xml:space="preserve">   732490</v>
      </c>
      <c r="B3742" t="s">
        <v>363</v>
      </c>
      <c r="C3742">
        <v>1527298</v>
      </c>
      <c r="D3742">
        <v>824</v>
      </c>
    </row>
    <row r="3743" spans="1:4" x14ac:dyDescent="0.25">
      <c r="A3743" t="str">
        <f>T("   732690")</f>
        <v xml:space="preserve">   732690</v>
      </c>
      <c r="B3743"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3743">
        <v>423796</v>
      </c>
      <c r="D3743">
        <v>1240</v>
      </c>
    </row>
    <row r="3744" spans="1:4" x14ac:dyDescent="0.25">
      <c r="A3744" t="str">
        <f>T("   741999")</f>
        <v xml:space="preserve">   741999</v>
      </c>
      <c r="B3744" t="str">
        <f>T("   Ouvrages en cuivre, n.d.a.")</f>
        <v xml:space="preserve">   Ouvrages en cuivre, n.d.a.</v>
      </c>
      <c r="C3744">
        <v>7498</v>
      </c>
      <c r="D3744">
        <v>1</v>
      </c>
    </row>
    <row r="3745" spans="1:4" x14ac:dyDescent="0.25">
      <c r="A3745" t="str">
        <f>T("   760429")</f>
        <v xml:space="preserve">   760429</v>
      </c>
      <c r="B3745" t="str">
        <f>T("   Barres et profilés pleins en alliages d'aluminium, n.d.a.")</f>
        <v xml:space="preserve">   Barres et profilés pleins en alliages d'aluminium, n.d.a.</v>
      </c>
      <c r="C3745">
        <v>1563245</v>
      </c>
      <c r="D3745">
        <v>5942</v>
      </c>
    </row>
    <row r="3746" spans="1:4" x14ac:dyDescent="0.25">
      <c r="A3746" t="str">
        <f>T("   761010")</f>
        <v xml:space="preserve">   761010</v>
      </c>
      <c r="B3746" t="str">
        <f>T("   Portes, fenêtres et leurs cadres, chambranles et seuils, en aluminium (sauf pièces de garnissage)")</f>
        <v xml:space="preserve">   Portes, fenêtres et leurs cadres, chambranles et seuils, en aluminium (sauf pièces de garnissage)</v>
      </c>
      <c r="C3746">
        <v>37188997</v>
      </c>
      <c r="D3746">
        <v>35805</v>
      </c>
    </row>
    <row r="3747" spans="1:4" x14ac:dyDescent="0.25">
      <c r="A3747" t="str">
        <f>T("   761699")</f>
        <v xml:space="preserve">   761699</v>
      </c>
      <c r="B3747" t="str">
        <f>T("   Ouvrages en aluminium, n.d.a.")</f>
        <v xml:space="preserve">   Ouvrages en aluminium, n.d.a.</v>
      </c>
      <c r="C3747">
        <v>843382</v>
      </c>
      <c r="D3747">
        <v>485</v>
      </c>
    </row>
    <row r="3748" spans="1:4" x14ac:dyDescent="0.25">
      <c r="A3748" t="str">
        <f>T("   820239")</f>
        <v xml:space="preserve">   820239</v>
      </c>
      <c r="B3748" t="str">
        <f>T("   Lames de scies circulaires, y.c. les lames de fraises-scies, et leurs parties, en métaux communs et avec partie travaillante en matières autres que l'acier")</f>
        <v xml:space="preserve">   Lames de scies circulaires, y.c. les lames de fraises-scies, et leurs parties, en métaux communs et avec partie travaillante en matières autres que l'acier</v>
      </c>
      <c r="C3748">
        <v>1382764</v>
      </c>
      <c r="D3748">
        <v>203</v>
      </c>
    </row>
    <row r="3749" spans="1:4" x14ac:dyDescent="0.25">
      <c r="A3749" t="str">
        <f>T("   820559")</f>
        <v xml:space="preserve">   820559</v>
      </c>
      <c r="B3749" t="str">
        <f>T("   Outils à main, y.c. -les diamants de vitrier-, en métaux communs, n.d.a.")</f>
        <v xml:space="preserve">   Outils à main, y.c. -les diamants de vitrier-, en métaux communs, n.d.a.</v>
      </c>
      <c r="C3749">
        <v>30830</v>
      </c>
      <c r="D3749">
        <v>4</v>
      </c>
    </row>
    <row r="3750" spans="1:4" x14ac:dyDescent="0.25">
      <c r="A3750" t="str">
        <f>T("   820730")</f>
        <v xml:space="preserve">   820730</v>
      </c>
      <c r="B3750" t="str">
        <f>T("   Outils interchangeables à emboutir, à estamper ou à poinçonner")</f>
        <v xml:space="preserve">   Outils interchangeables à emboutir, à estamper ou à poinçonner</v>
      </c>
      <c r="C3750">
        <v>2111115</v>
      </c>
      <c r="D3750">
        <v>467</v>
      </c>
    </row>
    <row r="3751" spans="1:4" x14ac:dyDescent="0.25">
      <c r="A3751" t="str">
        <f>T("   820750")</f>
        <v xml:space="preserve">   820750</v>
      </c>
      <c r="B3751" t="str">
        <f>T("   OUTILS INTERCHANGEABLES À PERCER (À L'EXCL. DES OUTILS DE FORAGE OU DE SONDAGE ET DES OUTILS À TARAUDER) [01/01/1988-31/12/1993: OUTILS INTERCHANGEABLES (SAUF OUTILS DE FORAGE OU DE SONDAGE ET SAUF OUTILS A TARAUDER OU A FILETER)]")</f>
        <v xml:space="preserve">   OUTILS INTERCHANGEABLES À PERCER (À L'EXCL. DES OUTILS DE FORAGE OU DE SONDAGE ET DES OUTILS À TARAUDER) [01/01/1988-31/12/1993: OUTILS INTERCHANGEABLES (SAUF OUTILS DE FORAGE OU DE SONDAGE ET SAUF OUTILS A TARAUDER OU A FILETER)]</v>
      </c>
      <c r="C3751">
        <v>1192536</v>
      </c>
      <c r="D3751">
        <v>175</v>
      </c>
    </row>
    <row r="3752" spans="1:4" x14ac:dyDescent="0.25">
      <c r="A3752" t="str">
        <f>T("   830130")</f>
        <v xml:space="preserve">   830130</v>
      </c>
      <c r="B3752" t="str">
        <f>T("   Serrures des types utilisés pour meubles, en métaux communs")</f>
        <v xml:space="preserve">   Serrures des types utilisés pour meubles, en métaux communs</v>
      </c>
      <c r="C3752">
        <v>511648</v>
      </c>
      <c r="D3752">
        <v>660</v>
      </c>
    </row>
    <row r="3753" spans="1:4" x14ac:dyDescent="0.25">
      <c r="A3753" t="str">
        <f>T("   830140")</f>
        <v xml:space="preserve">   830140</v>
      </c>
      <c r="B3753" t="str">
        <f>T("   Serrures et verrous, en métaux communs (autres que cadenas et serrures des types utilisés pour véhicules automobiles ou meubles)")</f>
        <v xml:space="preserve">   Serrures et verrous, en métaux communs (autres que cadenas et serrures des types utilisés pour véhicules automobiles ou meubles)</v>
      </c>
      <c r="C3753">
        <v>2838995</v>
      </c>
      <c r="D3753">
        <v>535</v>
      </c>
    </row>
    <row r="3754" spans="1:4" x14ac:dyDescent="0.25">
      <c r="A3754" t="str">
        <f>T("   830210")</f>
        <v xml:space="preserve">   830210</v>
      </c>
      <c r="B3754" t="str">
        <f>T("   Charnières de tous genres, y.c. les paumelles et pentures, en métaux communs")</f>
        <v xml:space="preserve">   Charnières de tous genres, y.c. les paumelles et pentures, en métaux communs</v>
      </c>
      <c r="C3754">
        <v>3286360</v>
      </c>
      <c r="D3754">
        <v>619</v>
      </c>
    </row>
    <row r="3755" spans="1:4" x14ac:dyDescent="0.25">
      <c r="A3755" t="str">
        <f>T("   830241")</f>
        <v xml:space="preserve">   830241</v>
      </c>
      <c r="B3755" t="str">
        <f>T("   Garnitures, ferrures et simil., pour bâtiments, en métaux communs (sauf serrures et verrous de sûreté à clef et sauf charnières)")</f>
        <v xml:space="preserve">   Garnitures, ferrures et simil., pour bâtiments, en métaux communs (sauf serrures et verrous de sûreté à clef et sauf charnières)</v>
      </c>
      <c r="C3755">
        <v>983284</v>
      </c>
      <c r="D3755">
        <v>185</v>
      </c>
    </row>
    <row r="3756" spans="1:4" x14ac:dyDescent="0.25">
      <c r="A3756" t="str">
        <f>T("   830242")</f>
        <v xml:space="preserve">   830242</v>
      </c>
      <c r="B3756" t="str">
        <f>T("   GARNITURES, FERRURES ET SIMIL., POUR MEUBLES, EN MÉTAUX COMMUNS (SAUF SERRURES ET VERROUS DE S¹RETÉ À CLEF ET SAUF CHARNIÈRES ET ROULETTES)")</f>
        <v xml:space="preserve">   GARNITURES, FERRURES ET SIMIL., POUR MEUBLES, EN MÉTAUX COMMUNS (SAUF SERRURES ET VERROUS DE S¹RETÉ À CLEF ET SAUF CHARNIÈRES ET ROULETTES)</v>
      </c>
      <c r="C3756">
        <v>1490997</v>
      </c>
      <c r="D3756">
        <v>281</v>
      </c>
    </row>
    <row r="3757" spans="1:4" x14ac:dyDescent="0.25">
      <c r="A3757" t="str">
        <f>T("   830910")</f>
        <v xml:space="preserve">   830910</v>
      </c>
      <c r="B3757" t="str">
        <f>T("   Bouchons-couronnes en métaux communs")</f>
        <v xml:space="preserve">   Bouchons-couronnes en métaux communs</v>
      </c>
      <c r="C3757">
        <v>28043603</v>
      </c>
      <c r="D3757">
        <v>14000</v>
      </c>
    </row>
    <row r="3758" spans="1:4" x14ac:dyDescent="0.25">
      <c r="A3758" t="str">
        <f>T("   840999")</f>
        <v xml:space="preserve">   840999</v>
      </c>
      <c r="B3758" t="str">
        <f>T("   Parties reconnaissables comme étant exclusivement ou principalement destinées aux moteurs à piston à allumage par compression, n.d.a.")</f>
        <v xml:space="preserve">   Parties reconnaissables comme étant exclusivement ou principalement destinées aux moteurs à piston à allumage par compression, n.d.a.</v>
      </c>
      <c r="C3758">
        <v>412776</v>
      </c>
      <c r="D3758">
        <v>104</v>
      </c>
    </row>
    <row r="3759" spans="1:4" x14ac:dyDescent="0.25">
      <c r="A3759" t="str">
        <f>T("   841370")</f>
        <v xml:space="preserve">   841370</v>
      </c>
      <c r="B3759" t="s">
        <v>392</v>
      </c>
      <c r="C3759">
        <v>1747884</v>
      </c>
      <c r="D3759">
        <v>697</v>
      </c>
    </row>
    <row r="3760" spans="1:4" x14ac:dyDescent="0.25">
      <c r="A3760" t="str">
        <f>T("   841381")</f>
        <v xml:space="preserve">   841381</v>
      </c>
      <c r="B3760" t="s">
        <v>393</v>
      </c>
      <c r="C3760">
        <v>1015426</v>
      </c>
      <c r="D3760">
        <v>1030</v>
      </c>
    </row>
    <row r="3761" spans="1:4" x14ac:dyDescent="0.25">
      <c r="A3761" t="str">
        <f>T("   841391")</f>
        <v xml:space="preserve">   841391</v>
      </c>
      <c r="B3761" t="str">
        <f>T("   Parties de pompes pour liquides, n.d.a.")</f>
        <v xml:space="preserve">   Parties de pompes pour liquides, n.d.a.</v>
      </c>
      <c r="C3761">
        <v>808039</v>
      </c>
      <c r="D3761">
        <v>995</v>
      </c>
    </row>
    <row r="3762" spans="1:4" x14ac:dyDescent="0.25">
      <c r="A3762" t="str">
        <f>T("   841583")</f>
        <v xml:space="preserve">   841583</v>
      </c>
      <c r="B3762" t="s">
        <v>398</v>
      </c>
      <c r="C3762">
        <v>222272</v>
      </c>
      <c r="D3762">
        <v>150</v>
      </c>
    </row>
    <row r="3763" spans="1:4" x14ac:dyDescent="0.25">
      <c r="A3763" t="str">
        <f>T("   841829")</f>
        <v xml:space="preserve">   841829</v>
      </c>
      <c r="B3763" t="str">
        <f>T("   Réfrigérateurs ménagers à absorption, non-électriques")</f>
        <v xml:space="preserve">   Réfrigérateurs ménagers à absorption, non-électriques</v>
      </c>
      <c r="C3763">
        <v>528334</v>
      </c>
      <c r="D3763">
        <v>3269</v>
      </c>
    </row>
    <row r="3764" spans="1:4" x14ac:dyDescent="0.25">
      <c r="A3764" t="str">
        <f>T("   841891")</f>
        <v xml:space="preserve">   841891</v>
      </c>
      <c r="B3764" t="str">
        <f>T("   Meubles conçus pour recevoir un équipement pour la production du froid")</f>
        <v xml:space="preserve">   Meubles conçus pour recevoir un équipement pour la production du froid</v>
      </c>
      <c r="C3764">
        <v>18208794</v>
      </c>
      <c r="D3764">
        <v>9097</v>
      </c>
    </row>
    <row r="3765" spans="1:4" x14ac:dyDescent="0.25">
      <c r="A3765" t="str">
        <f>T("   841919")</f>
        <v xml:space="preserve">   841919</v>
      </c>
      <c r="B3765" t="str">
        <f>T("   Chauffe-eau non-électriques, à chauffage instantané ou à accumulation (à l'excl. des chauffe-eau instantanés à gaz et des chaudières ou générateurs mixtes pour chauffage central)")</f>
        <v xml:space="preserve">   Chauffe-eau non-électriques, à chauffage instantané ou à accumulation (à l'excl. des chauffe-eau instantanés à gaz et des chaudières ou générateurs mixtes pour chauffage central)</v>
      </c>
      <c r="C3765">
        <v>16399</v>
      </c>
      <c r="D3765">
        <v>10</v>
      </c>
    </row>
    <row r="3766" spans="1:4" x14ac:dyDescent="0.25">
      <c r="A3766" t="str">
        <f>T("   842121")</f>
        <v xml:space="preserve">   842121</v>
      </c>
      <c r="B3766" t="str">
        <f>T("   Appareils pour la filtration ou l'épuration des eaux")</f>
        <v xml:space="preserve">   Appareils pour la filtration ou l'épuration des eaux</v>
      </c>
      <c r="C3766">
        <v>1774201</v>
      </c>
      <c r="D3766">
        <v>708</v>
      </c>
    </row>
    <row r="3767" spans="1:4" x14ac:dyDescent="0.25">
      <c r="A3767" t="str">
        <f>T("   842139")</f>
        <v xml:space="preserve">   842139</v>
      </c>
      <c r="B3767" t="str">
        <f>T("   Appareils pour la filtration ou l'épuration des gaz (autres que pour la séparation isotopique et sauf les filtres d'entrée d'air pour moteurs à allumage par étincelles ou par compression)")</f>
        <v xml:space="preserve">   Appareils pour la filtration ou l'épuration des gaz (autres que pour la séparation isotopique et sauf les filtres d'entrée d'air pour moteurs à allumage par étincelles ou par compression)</v>
      </c>
      <c r="C3767">
        <v>6045328</v>
      </c>
      <c r="D3767">
        <v>207</v>
      </c>
    </row>
    <row r="3768" spans="1:4" x14ac:dyDescent="0.25">
      <c r="A3768" t="str">
        <f>T("   843621")</f>
        <v xml:space="preserve">   843621</v>
      </c>
      <c r="B3768" t="str">
        <f>T("   Couveuses et éleveuses pour l'aviculture")</f>
        <v xml:space="preserve">   Couveuses et éleveuses pour l'aviculture</v>
      </c>
      <c r="C3768">
        <v>280876</v>
      </c>
      <c r="D3768">
        <v>75</v>
      </c>
    </row>
    <row r="3769" spans="1:4" x14ac:dyDescent="0.25">
      <c r="A3769" t="str">
        <f>T("   844359")</f>
        <v xml:space="preserve">   844359</v>
      </c>
      <c r="B3769" t="s">
        <v>418</v>
      </c>
      <c r="C3769">
        <v>17834614</v>
      </c>
      <c r="D3769">
        <v>21050</v>
      </c>
    </row>
    <row r="3770" spans="1:4" x14ac:dyDescent="0.25">
      <c r="A3770" t="str">
        <f>T("   844360")</f>
        <v xml:space="preserve">   844360</v>
      </c>
      <c r="B3770" t="str">
        <f>T("   Machines auxiliaires pour l'impression fabriquées spécialement pour les machines et appareils à imprimer, pour placer, transporter ou travailler autrement les feuilles de papier ou les bandes continues de papier")</f>
        <v xml:space="preserve">   Machines auxiliaires pour l'impression fabriquées spécialement pour les machines et appareils à imprimer, pour placer, transporter ou travailler autrement les feuilles de papier ou les bandes continues de papier</v>
      </c>
      <c r="C3770">
        <v>3117903</v>
      </c>
      <c r="D3770">
        <v>3500</v>
      </c>
    </row>
    <row r="3771" spans="1:4" x14ac:dyDescent="0.25">
      <c r="A3771" t="str">
        <f>T("   845229")</f>
        <v xml:space="preserve">   845229</v>
      </c>
      <c r="B3771" t="str">
        <f>T("   Machines à coudre de type industriel (sauf unités automatiques)")</f>
        <v xml:space="preserve">   Machines à coudre de type industriel (sauf unités automatiques)</v>
      </c>
      <c r="C3771">
        <v>779471</v>
      </c>
      <c r="D3771">
        <v>1000</v>
      </c>
    </row>
    <row r="3772" spans="1:4" x14ac:dyDescent="0.25">
      <c r="A3772" t="str">
        <f>T("   846490")</f>
        <v xml:space="preserve">   846490</v>
      </c>
      <c r="B3772" t="s">
        <v>427</v>
      </c>
      <c r="C3772">
        <v>16357018</v>
      </c>
      <c r="D3772">
        <v>6883</v>
      </c>
    </row>
    <row r="3773" spans="1:4" x14ac:dyDescent="0.25">
      <c r="A3773" t="str">
        <f>T("   846591")</f>
        <v xml:space="preserve">   846591</v>
      </c>
      <c r="B3773" t="str">
        <f>T("   Machines à scier, pour le travail du bois, des matières plastiques dures, etc. (autres que pour emploi à la main)")</f>
        <v xml:space="preserve">   Machines à scier, pour le travail du bois, des matières plastiques dures, etc. (autres que pour emploi à la main)</v>
      </c>
      <c r="C3773">
        <v>500000</v>
      </c>
      <c r="D3773">
        <v>2100</v>
      </c>
    </row>
    <row r="3774" spans="1:4" x14ac:dyDescent="0.25">
      <c r="A3774" t="str">
        <f>T("   846691")</f>
        <v xml:space="preserve">   846691</v>
      </c>
      <c r="B3774" t="str">
        <f>T("   Parties et accessoires pour machines-outils pour le travail de la pierre, des produits céramiques, du béton, etc., y.c. le travail à froid du verre, n.d.a.")</f>
        <v xml:space="preserve">   Parties et accessoires pour machines-outils pour le travail de la pierre, des produits céramiques, du béton, etc., y.c. le travail à froid du verre, n.d.a.</v>
      </c>
      <c r="C3774">
        <v>3229947</v>
      </c>
      <c r="D3774">
        <v>473</v>
      </c>
    </row>
    <row r="3775" spans="1:4" x14ac:dyDescent="0.25">
      <c r="A3775" t="str">
        <f>T("   846721")</f>
        <v xml:space="preserve">   846721</v>
      </c>
      <c r="B3775" t="str">
        <f>T("   Perceuses à moteur électrique incorporé, pour emploi à la main, y.c. les perforatrices rotatives")</f>
        <v xml:space="preserve">   Perceuses à moteur électrique incorporé, pour emploi à la main, y.c. les perforatrices rotatives</v>
      </c>
      <c r="C3775">
        <v>133160</v>
      </c>
      <c r="D3775">
        <v>4</v>
      </c>
    </row>
    <row r="3776" spans="1:4" x14ac:dyDescent="0.25">
      <c r="A3776" t="str">
        <f>T("   846722")</f>
        <v xml:space="preserve">   846722</v>
      </c>
      <c r="B3776" t="str">
        <f>T("   Scies et tronçonneuses, à moteur électrique incorporé, pour emploi à la main")</f>
        <v xml:space="preserve">   Scies et tronçonneuses, à moteur électrique incorporé, pour emploi à la main</v>
      </c>
      <c r="C3776">
        <v>173174</v>
      </c>
      <c r="D3776">
        <v>5</v>
      </c>
    </row>
    <row r="3777" spans="1:4" x14ac:dyDescent="0.25">
      <c r="A3777" t="str">
        <f>T("   847180")</f>
        <v xml:space="preserve">   847180</v>
      </c>
      <c r="B3777" t="str">
        <f>T("   Unités de machines automatiques de traitement de l'information, numériques (à l'excl. des unités de traitement, unités d'entrée ou de sortie et unités de mémoire)")</f>
        <v xml:space="preserve">   Unités de machines automatiques de traitement de l'information, numériques (à l'excl. des unités de traitement, unités d'entrée ou de sortie et unités de mémoire)</v>
      </c>
      <c r="C3777">
        <v>131192</v>
      </c>
      <c r="D3777">
        <v>907</v>
      </c>
    </row>
    <row r="3778" spans="1:4" x14ac:dyDescent="0.25">
      <c r="A3778" t="str">
        <f>T("   847290")</f>
        <v xml:space="preserve">   847290</v>
      </c>
      <c r="B3778" t="str">
        <f>T("   Machines et appareils de bureau, n.d.a.")</f>
        <v xml:space="preserve">   Machines et appareils de bureau, n.d.a.</v>
      </c>
      <c r="C3778">
        <v>38190</v>
      </c>
      <c r="D3778">
        <v>50</v>
      </c>
    </row>
    <row r="3779" spans="1:4" x14ac:dyDescent="0.25">
      <c r="A3779" t="str">
        <f>T("   847490")</f>
        <v xml:space="preserve">   847490</v>
      </c>
      <c r="B3779" t="str">
        <f>T("   Parties des machines et appareils pour le travail des matières minérales du n° 8474, n.d.a.")</f>
        <v xml:space="preserve">   Parties des machines et appareils pour le travail des matières minérales du n° 8474, n.d.a.</v>
      </c>
      <c r="C3779">
        <v>18987419</v>
      </c>
      <c r="D3779">
        <v>6184</v>
      </c>
    </row>
    <row r="3780" spans="1:4" x14ac:dyDescent="0.25">
      <c r="A3780" t="str">
        <f>T("   847780")</f>
        <v xml:space="preserve">   847780</v>
      </c>
      <c r="B3780" t="str">
        <f>T("   MACHINES ET APPAREILS POUR LE TRAVAIL DU CAOUTCHOUC OU DES MATIÈRES PLASTIQUES OU POUR LA FABRICATION DE PRODUITS EN CES MATIÈRES N.D.A. DANS LE CHAPITRE 84")</f>
        <v xml:space="preserve">   MACHINES ET APPAREILS POUR LE TRAVAIL DU CAOUTCHOUC OU DES MATIÈRES PLASTIQUES OU POUR LA FABRICATION DE PRODUITS EN CES MATIÈRES N.D.A. DANS LE CHAPITRE 84</v>
      </c>
      <c r="C3780">
        <v>10915830</v>
      </c>
      <c r="D3780">
        <v>71165</v>
      </c>
    </row>
    <row r="3781" spans="1:4" x14ac:dyDescent="0.25">
      <c r="A3781" t="str">
        <f>T("   847989")</f>
        <v xml:space="preserve">   847989</v>
      </c>
      <c r="B3781" t="str">
        <f>T("   Machines et appareils, y.c. les appareils mécaniques, n.d.a.")</f>
        <v xml:space="preserve">   Machines et appareils, y.c. les appareils mécaniques, n.d.a.</v>
      </c>
      <c r="C3781">
        <v>248198</v>
      </c>
      <c r="D3781">
        <v>500</v>
      </c>
    </row>
    <row r="3782" spans="1:4" x14ac:dyDescent="0.25">
      <c r="A3782" t="str">
        <f>T("   848180")</f>
        <v xml:space="preserve">   848180</v>
      </c>
      <c r="B3782" t="str">
        <f>T("   Articles de robinetterie et organes simil. pour tuyauteries, etc. (à l'excl. des détendeurs, valves pour transmissions oléohydrauliques ou pneumatiques, clapets et soupapes de retenue et sauf soupapes de trop-plein ou de sûreté)")</f>
        <v xml:space="preserve">   Articles de robinetterie et organes simil. pour tuyauteries, etc. (à l'excl. des détendeurs, valves pour transmissions oléohydrauliques ou pneumatiques, clapets et soupapes de retenue et sauf soupapes de trop-plein ou de sûreté)</v>
      </c>
      <c r="C3782">
        <v>1875161</v>
      </c>
      <c r="D3782">
        <v>1708</v>
      </c>
    </row>
    <row r="3783" spans="1:4" x14ac:dyDescent="0.25">
      <c r="A3783" t="str">
        <f>T("   848190")</f>
        <v xml:space="preserve">   848190</v>
      </c>
      <c r="B3783" t="str">
        <f>T("   Parties d'articles de robinetterie et organes simil. pour tuyauterie, etc., n.d.a.")</f>
        <v xml:space="preserve">   Parties d'articles de robinetterie et organes simil. pour tuyauterie, etc., n.d.a.</v>
      </c>
      <c r="C3783">
        <v>168523</v>
      </c>
      <c r="D3783">
        <v>67</v>
      </c>
    </row>
    <row r="3784" spans="1:4" x14ac:dyDescent="0.25">
      <c r="A3784" t="str">
        <f>T("   848360")</f>
        <v xml:space="preserve">   848360</v>
      </c>
      <c r="B3784" t="str">
        <f>T("   Embrayages et organes d'accouplement, y.c. les joints d'articulation, pour machines")</f>
        <v xml:space="preserve">   Embrayages et organes d'accouplement, y.c. les joints d'articulation, pour machines</v>
      </c>
      <c r="C3784">
        <v>78059</v>
      </c>
      <c r="D3784">
        <v>0.11</v>
      </c>
    </row>
    <row r="3785" spans="1:4" x14ac:dyDescent="0.25">
      <c r="A3785" t="str">
        <f>T("   850212")</f>
        <v xml:space="preserve">   850212</v>
      </c>
      <c r="B3785" t="str">
        <f>T("   GROUPES ÉLECTROGÈNES À MOTEUR À PISTON À ALLUMAGE PAR COMPRESSION 'MOTEURS DIESEL OU SEMI-DIESEL', PUISSANCE &gt; 75 KVA MAIS &lt;= 375 KVA")</f>
        <v xml:space="preserve">   GROUPES ÉLECTROGÈNES À MOTEUR À PISTON À ALLUMAGE PAR COMPRESSION 'MOTEURS DIESEL OU SEMI-DIESEL', PUISSANCE &gt; 75 KVA MAIS &lt;= 375 KVA</v>
      </c>
      <c r="C3785">
        <v>39395908</v>
      </c>
      <c r="D3785">
        <v>7218</v>
      </c>
    </row>
    <row r="3786" spans="1:4" x14ac:dyDescent="0.25">
      <c r="A3786" t="str">
        <f>T("   850213")</f>
        <v xml:space="preserve">   850213</v>
      </c>
      <c r="B3786" t="s">
        <v>445</v>
      </c>
      <c r="C3786">
        <v>7043344</v>
      </c>
      <c r="D3786">
        <v>7023</v>
      </c>
    </row>
    <row r="3787" spans="1:4" x14ac:dyDescent="0.25">
      <c r="A3787" t="str">
        <f>T("   850239")</f>
        <v xml:space="preserve">   850239</v>
      </c>
      <c r="B3787" t="str">
        <f>T("   Groupes électrogènes (autres qu'à énergie éolienne et à moteurs à piston)")</f>
        <v xml:space="preserve">   Groupes électrogènes (autres qu'à énergie éolienne et à moteurs à piston)</v>
      </c>
      <c r="C3787">
        <v>18949438</v>
      </c>
      <c r="D3787">
        <v>4095</v>
      </c>
    </row>
    <row r="3788" spans="1:4" x14ac:dyDescent="0.25">
      <c r="A3788" t="str">
        <f>T("   850300")</f>
        <v xml:space="preserve">   850300</v>
      </c>
      <c r="B3788" t="str">
        <f>T("   Parties reconnaissables comme étant exclusivement ou principalement destinées aux moteurs et machines génératrices électriques, groupes électrogènes ou convertisseurs rotatifs électriques n.d.a.")</f>
        <v xml:space="preserve">   Parties reconnaissables comme étant exclusivement ou principalement destinées aux moteurs et machines génératrices électriques, groupes électrogènes ou convertisseurs rotatifs électriques n.d.a.</v>
      </c>
      <c r="C3788">
        <v>99831</v>
      </c>
      <c r="D3788">
        <v>60</v>
      </c>
    </row>
    <row r="3789" spans="1:4" x14ac:dyDescent="0.25">
      <c r="A3789" t="str">
        <f>T("   850910")</f>
        <v xml:space="preserve">   850910</v>
      </c>
      <c r="B3789" t="str">
        <f>T("   Aspirateurs de poussières, y.c. les aspirateurs de matières sèches et de matières liquides, à moteur électrique incorporé, à usage domestique")</f>
        <v xml:space="preserve">   Aspirateurs de poussières, y.c. les aspirateurs de matières sèches et de matières liquides, à moteur électrique incorporé, à usage domestique</v>
      </c>
      <c r="C3789">
        <v>8305766</v>
      </c>
      <c r="D3789">
        <v>2827</v>
      </c>
    </row>
    <row r="3790" spans="1:4" x14ac:dyDescent="0.25">
      <c r="A3790" t="str">
        <f>T("   850980")</f>
        <v xml:space="preserve">   850980</v>
      </c>
      <c r="B3790" t="s">
        <v>447</v>
      </c>
      <c r="C3790">
        <v>1018705</v>
      </c>
      <c r="D3790">
        <v>916</v>
      </c>
    </row>
    <row r="3791" spans="1:4" x14ac:dyDescent="0.25">
      <c r="A3791" t="str">
        <f>T("   851660")</f>
        <v xml:space="preserve">   851660</v>
      </c>
      <c r="B3791" t="str">
        <f>T("   Fours, cuisinières, réchauds, tables de cuisson, grils et rôtissoires électriques, pour usages domestiques (sauf fours destinés au chauffage des locaux et fours à micro-ondes)")</f>
        <v xml:space="preserve">   Fours, cuisinières, réchauds, tables de cuisson, grils et rôtissoires électriques, pour usages domestiques (sauf fours destinés au chauffage des locaux et fours à micro-ondes)</v>
      </c>
      <c r="C3791">
        <v>89263</v>
      </c>
      <c r="D3791">
        <v>100</v>
      </c>
    </row>
    <row r="3792" spans="1:4" x14ac:dyDescent="0.25">
      <c r="A3792" t="str">
        <f>T("   851780")</f>
        <v xml:space="preserve">   851780</v>
      </c>
      <c r="B3792" t="s">
        <v>453</v>
      </c>
      <c r="C3792">
        <v>3786865</v>
      </c>
      <c r="D3792">
        <v>100</v>
      </c>
    </row>
    <row r="3793" spans="1:4" x14ac:dyDescent="0.25">
      <c r="A3793" t="str">
        <f>T("   852090")</f>
        <v xml:space="preserve">   852090</v>
      </c>
      <c r="B3793" t="str">
        <f>T("   Appareils d'enregistrement du son, incorporant également un dispositif de reproduction du son (autres qu'appareils d'enregistrement et de reproduction du son utilisant des bandes magnétiques sur bobines)")</f>
        <v xml:space="preserve">   Appareils d'enregistrement du son, incorporant également un dispositif de reproduction du son (autres qu'appareils d'enregistrement et de reproduction du son utilisant des bandes magnétiques sur bobines)</v>
      </c>
      <c r="C3793">
        <v>98394</v>
      </c>
      <c r="D3793">
        <v>90</v>
      </c>
    </row>
    <row r="3794" spans="1:4" x14ac:dyDescent="0.25">
      <c r="A3794" t="str">
        <f>T("   853620")</f>
        <v xml:space="preserve">   853620</v>
      </c>
      <c r="B3794" t="str">
        <f>T("   Disjoncteurs, pour une tension &lt;= 1.000 V")</f>
        <v xml:space="preserve">   Disjoncteurs, pour une tension &lt;= 1.000 V</v>
      </c>
      <c r="C3794">
        <v>697410</v>
      </c>
      <c r="D3794">
        <v>388.4</v>
      </c>
    </row>
    <row r="3795" spans="1:4" x14ac:dyDescent="0.25">
      <c r="A3795" t="str">
        <f>T("   853630")</f>
        <v xml:space="preserve">   853630</v>
      </c>
      <c r="B3795" t="str">
        <f>T("   APPAREILS POUR LA PROTECTION DES CIRCUITS ÉLECTRIQUES (SAUF FUSIBLES, COUPE-CIRCUIT À FUSIBLES ET DISJONCTEURS), POUR UNE TENSION &lt;= 1.000 V")</f>
        <v xml:space="preserve">   APPAREILS POUR LA PROTECTION DES CIRCUITS ÉLECTRIQUES (SAUF FUSIBLES, COUPE-CIRCUIT À FUSIBLES ET DISJONCTEURS), POUR UNE TENSION &lt;= 1.000 V</v>
      </c>
      <c r="C3795">
        <v>913853</v>
      </c>
      <c r="D3795">
        <v>3</v>
      </c>
    </row>
    <row r="3796" spans="1:4" x14ac:dyDescent="0.25">
      <c r="A3796" t="str">
        <f>T("   853661")</f>
        <v xml:space="preserve">   853661</v>
      </c>
      <c r="B3796" t="str">
        <f>T("   Douilles pour lampes, pour une tension &lt;= 1.000 V")</f>
        <v xml:space="preserve">   Douilles pour lampes, pour une tension &lt;= 1.000 V</v>
      </c>
      <c r="C3796">
        <v>408480</v>
      </c>
      <c r="D3796">
        <v>227.47</v>
      </c>
    </row>
    <row r="3797" spans="1:4" x14ac:dyDescent="0.25">
      <c r="A3797" t="str">
        <f>T("   853669")</f>
        <v xml:space="preserve">   853669</v>
      </c>
      <c r="B3797" t="str">
        <f>T("   Fiches et prises de courant, pour une tension &lt;= 1.000 V (sauf douilles pour lampes)")</f>
        <v xml:space="preserve">   Fiches et prises de courant, pour une tension &lt;= 1.000 V (sauf douilles pour lampes)</v>
      </c>
      <c r="C3797">
        <v>4236190</v>
      </c>
      <c r="D3797">
        <v>1136</v>
      </c>
    </row>
    <row r="3798" spans="1:4" x14ac:dyDescent="0.25">
      <c r="A3798" t="str">
        <f>T("   853929")</f>
        <v xml:space="preserve">   853929</v>
      </c>
      <c r="B3798" t="str">
        <f>T("   Lampes et tubes à incandescence électriques (autres que lampes et tubes halogènes, au tungstène, lampes d'une puissance &lt;= 200 W et pour une tension &gt; 100 V, et lampes à rayons ultraviolets ou infrarouges)")</f>
        <v xml:space="preserve">   Lampes et tubes à incandescence électriques (autres que lampes et tubes halogènes, au tungstène, lampes d'une puissance &lt;= 200 W et pour une tension &gt; 100 V, et lampes à rayons ultraviolets ou infrarouges)</v>
      </c>
      <c r="C3798">
        <v>1893665</v>
      </c>
      <c r="D3798">
        <v>755</v>
      </c>
    </row>
    <row r="3799" spans="1:4" x14ac:dyDescent="0.25">
      <c r="A3799" t="str">
        <f>T("   854420")</f>
        <v xml:space="preserve">   854420</v>
      </c>
      <c r="B3799" t="str">
        <f>T("   Câbles coaxiaux et autres conducteurs électriques coaxiaux, isolés")</f>
        <v xml:space="preserve">   Câbles coaxiaux et autres conducteurs électriques coaxiaux, isolés</v>
      </c>
      <c r="C3799">
        <v>29072803</v>
      </c>
      <c r="D3799">
        <v>4831</v>
      </c>
    </row>
    <row r="3800" spans="1:4" x14ac:dyDescent="0.25">
      <c r="A3800" t="str">
        <f>T("   854449")</f>
        <v xml:space="preserve">   854449</v>
      </c>
      <c r="B3800" t="str">
        <f>T("   CONDUCTEURS ÉLECTRIQUES, POUR TENSION &lt;= 1.000 V, ISOLÉS, SANS PIÈCES DE CONNEXION, N.D.A.")</f>
        <v xml:space="preserve">   CONDUCTEURS ÉLECTRIQUES, POUR TENSION &lt;= 1.000 V, ISOLÉS, SANS PIÈCES DE CONNEXION, N.D.A.</v>
      </c>
      <c r="C3800">
        <v>6371405</v>
      </c>
      <c r="D3800">
        <v>1000</v>
      </c>
    </row>
    <row r="3801" spans="1:4" x14ac:dyDescent="0.25">
      <c r="A3801" t="str">
        <f>T("   870120")</f>
        <v xml:space="preserve">   870120</v>
      </c>
      <c r="B3801" t="str">
        <f>T("   Tracteurs routiers pour semi-remorques")</f>
        <v xml:space="preserve">   Tracteurs routiers pour semi-remorques</v>
      </c>
      <c r="C3801">
        <v>6000000</v>
      </c>
      <c r="D3801">
        <v>13371</v>
      </c>
    </row>
    <row r="3802" spans="1:4" x14ac:dyDescent="0.25">
      <c r="A3802" t="str">
        <f>T("   870210")</f>
        <v xml:space="preserve">   870210</v>
      </c>
      <c r="B3802" t="s">
        <v>472</v>
      </c>
      <c r="C3802">
        <v>35315315</v>
      </c>
      <c r="D3802">
        <v>14051</v>
      </c>
    </row>
    <row r="3803" spans="1:4" x14ac:dyDescent="0.25">
      <c r="A3803" t="str">
        <f>T("   870290")</f>
        <v xml:space="preserve">   870290</v>
      </c>
      <c r="B3803" t="s">
        <v>473</v>
      </c>
      <c r="C3803">
        <v>1200000</v>
      </c>
      <c r="D3803">
        <v>1445</v>
      </c>
    </row>
    <row r="3804" spans="1:4" x14ac:dyDescent="0.25">
      <c r="A3804" t="str">
        <f>T("   870322")</f>
        <v xml:space="preserve">   870322</v>
      </c>
      <c r="B3804" t="s">
        <v>475</v>
      </c>
      <c r="C3804">
        <v>32923150</v>
      </c>
      <c r="D3804">
        <v>15175</v>
      </c>
    </row>
    <row r="3805" spans="1:4" x14ac:dyDescent="0.25">
      <c r="A3805" t="str">
        <f>T("   870323")</f>
        <v xml:space="preserve">   870323</v>
      </c>
      <c r="B3805" t="s">
        <v>476</v>
      </c>
      <c r="C3805">
        <v>126292926</v>
      </c>
      <c r="D3805">
        <v>19913</v>
      </c>
    </row>
    <row r="3806" spans="1:4" x14ac:dyDescent="0.25">
      <c r="A3806" t="str">
        <f>T("   870324")</f>
        <v xml:space="preserve">   870324</v>
      </c>
      <c r="B3806" t="s">
        <v>477</v>
      </c>
      <c r="C3806">
        <v>28236212</v>
      </c>
      <c r="D3806">
        <v>3962</v>
      </c>
    </row>
    <row r="3807" spans="1:4" x14ac:dyDescent="0.25">
      <c r="A3807" t="str">
        <f>T("   870332")</f>
        <v xml:space="preserve">   870332</v>
      </c>
      <c r="B3807" t="s">
        <v>479</v>
      </c>
      <c r="C3807">
        <v>59778127</v>
      </c>
      <c r="D3807">
        <v>10278</v>
      </c>
    </row>
    <row r="3808" spans="1:4" x14ac:dyDescent="0.25">
      <c r="A3808" t="str">
        <f>T("   870333")</f>
        <v xml:space="preserve">   870333</v>
      </c>
      <c r="B3808" t="s">
        <v>480</v>
      </c>
      <c r="C3808">
        <v>185380948</v>
      </c>
      <c r="D3808">
        <v>25705</v>
      </c>
    </row>
    <row r="3809" spans="1:4" x14ac:dyDescent="0.25">
      <c r="A3809" t="str">
        <f>T("   870421")</f>
        <v xml:space="preserve">   870421</v>
      </c>
      <c r="B3809" t="s">
        <v>481</v>
      </c>
      <c r="C3809">
        <v>119675818</v>
      </c>
      <c r="D3809">
        <v>20179</v>
      </c>
    </row>
    <row r="3810" spans="1:4" x14ac:dyDescent="0.25">
      <c r="A3810" t="str">
        <f>T("   870431")</f>
        <v xml:space="preserve">   870431</v>
      </c>
      <c r="B3810" t="s">
        <v>484</v>
      </c>
      <c r="C3810">
        <v>1200000</v>
      </c>
      <c r="D3810">
        <v>1500</v>
      </c>
    </row>
    <row r="3811" spans="1:4" x14ac:dyDescent="0.25">
      <c r="A3811" t="str">
        <f>T("   870710")</f>
        <v xml:space="preserve">   870710</v>
      </c>
      <c r="B3811" t="str">
        <f>T("   Carrosseries pour voitures de tourisme")</f>
        <v xml:space="preserve">   Carrosseries pour voitures de tourisme</v>
      </c>
      <c r="C3811">
        <v>2303070</v>
      </c>
      <c r="D3811">
        <v>2085</v>
      </c>
    </row>
    <row r="3812" spans="1:4" x14ac:dyDescent="0.25">
      <c r="A3812" t="str">
        <f>T("   870899")</f>
        <v xml:space="preserve">   870899</v>
      </c>
      <c r="B3812"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3812">
        <v>26174130</v>
      </c>
      <c r="D3812">
        <v>13459</v>
      </c>
    </row>
    <row r="3813" spans="1:4" x14ac:dyDescent="0.25">
      <c r="A3813" t="str">
        <f>T("   871190")</f>
        <v xml:space="preserve">   871190</v>
      </c>
      <c r="B3813" t="str">
        <f>T("   Side-cars")</f>
        <v xml:space="preserve">   Side-cars</v>
      </c>
      <c r="C3813">
        <v>2250599</v>
      </c>
      <c r="D3813">
        <v>1500</v>
      </c>
    </row>
    <row r="3814" spans="1:4" x14ac:dyDescent="0.25">
      <c r="A3814" t="str">
        <f>T("   871200")</f>
        <v xml:space="preserve">   871200</v>
      </c>
      <c r="B3814" t="str">
        <f>T("   BICYCLETTES ET AUTRES CYCLES, -Y.C. LES TRIPORTEURS-, SANS MOTEUR")</f>
        <v xml:space="preserve">   BICYCLETTES ET AUTRES CYCLES, -Y.C. LES TRIPORTEURS-, SANS MOTEUR</v>
      </c>
      <c r="C3814">
        <v>21000</v>
      </c>
      <c r="D3814">
        <v>65</v>
      </c>
    </row>
    <row r="3815" spans="1:4" x14ac:dyDescent="0.25">
      <c r="A3815" t="str">
        <f>T("   871640")</f>
        <v xml:space="preserve">   871640</v>
      </c>
      <c r="B3815" t="str">
        <f>T("   Remorques ne circulant pas sur rails (à l'excl. des remorques pour le transport de marchandises et remorques pour l'habitation ou le camping, du type caravane)")</f>
        <v xml:space="preserve">   Remorques ne circulant pas sur rails (à l'excl. des remorques pour le transport de marchandises et remorques pour l'habitation ou le camping, du type caravane)</v>
      </c>
      <c r="C3815">
        <v>6000000</v>
      </c>
      <c r="D3815">
        <v>10000</v>
      </c>
    </row>
    <row r="3816" spans="1:4" x14ac:dyDescent="0.25">
      <c r="A3816" t="str">
        <f>T("   900410")</f>
        <v xml:space="preserve">   900410</v>
      </c>
      <c r="B3816" t="str">
        <f>T("   Lunettes solaires")</f>
        <v xml:space="preserve">   Lunettes solaires</v>
      </c>
      <c r="C3816">
        <v>251659</v>
      </c>
      <c r="D3816">
        <v>10</v>
      </c>
    </row>
    <row r="3817" spans="1:4" x14ac:dyDescent="0.25">
      <c r="A3817" t="str">
        <f>T("   900911")</f>
        <v xml:space="preserve">   900911</v>
      </c>
      <c r="B3817" t="str">
        <f>T("   Appareils de photocopie électrostatiques, fonctionnant par reproduction directe de l'image de l'original sur la copie [procédé direct]")</f>
        <v xml:space="preserve">   Appareils de photocopie électrostatiques, fonctionnant par reproduction directe de l'image de l'original sur la copie [procédé direct]</v>
      </c>
      <c r="C3817">
        <v>45917</v>
      </c>
      <c r="D3817">
        <v>318</v>
      </c>
    </row>
    <row r="3818" spans="1:4" x14ac:dyDescent="0.25">
      <c r="A3818" t="str">
        <f>T("   901780")</f>
        <v xml:space="preserve">   901780</v>
      </c>
      <c r="B3818" t="str">
        <f>T("   Instruments de mesure de longueurs, pour emploi à la main, n.d.a.")</f>
        <v xml:space="preserve">   Instruments de mesure de longueurs, pour emploi à la main, n.d.a.</v>
      </c>
      <c r="C3818">
        <v>512961</v>
      </c>
      <c r="D3818">
        <v>75</v>
      </c>
    </row>
    <row r="3819" spans="1:4" x14ac:dyDescent="0.25">
      <c r="A3819" t="str">
        <f>T("   901890")</f>
        <v xml:space="preserve">   901890</v>
      </c>
      <c r="B3819" t="str">
        <f>T("   Instruments et appareils pour la médecine, la chirurgie ou l'art vétérinaire, n.d.a.")</f>
        <v xml:space="preserve">   Instruments et appareils pour la médecine, la chirurgie ou l'art vétérinaire, n.d.a.</v>
      </c>
      <c r="C3819">
        <v>650109</v>
      </c>
      <c r="D3819">
        <v>338</v>
      </c>
    </row>
    <row r="3820" spans="1:4" x14ac:dyDescent="0.25">
      <c r="A3820" t="str">
        <f>T("   902519")</f>
        <v xml:space="preserve">   902519</v>
      </c>
      <c r="B3820" t="str">
        <f>T("   THERMOMÈTRES ET PYROMÈTRES, NON-COMBINÉS À D'AUTRES INSTRUMENTS (À L'EXCL. DES THERMOMÈTRES À LIQUIDE, À LECTURE DIRECTE) [01/01/1988-31/12/1991: THERMOMÈTRES, NON COMBINES A D'AUTRES INSTRUMENTS, (NON REPR. SOUS 9025.11)]")</f>
        <v xml:space="preserve">   THERMOMÈTRES ET PYROMÈTRES, NON-COMBINÉS À D'AUTRES INSTRUMENTS (À L'EXCL. DES THERMOMÈTRES À LIQUIDE, À LECTURE DIRECTE) [01/01/1988-31/12/1991: THERMOMÈTRES, NON COMBINES A D'AUTRES INSTRUMENTS, (NON REPR. SOUS 9025.11)]</v>
      </c>
      <c r="C3820">
        <v>8528</v>
      </c>
      <c r="D3820">
        <v>15</v>
      </c>
    </row>
    <row r="3821" spans="1:4" x14ac:dyDescent="0.25">
      <c r="A3821" t="str">
        <f>T("   940169")</f>
        <v xml:space="preserve">   940169</v>
      </c>
      <c r="B3821" t="str">
        <f>T("   Sièges, avec bâti en bois, non rembourrés")</f>
        <v xml:space="preserve">   Sièges, avec bâti en bois, non rembourrés</v>
      </c>
      <c r="C3821">
        <v>87899</v>
      </c>
      <c r="D3821">
        <v>500</v>
      </c>
    </row>
    <row r="3822" spans="1:4" x14ac:dyDescent="0.25">
      <c r="A3822" t="str">
        <f>T("   940171")</f>
        <v xml:space="preserve">   940171</v>
      </c>
      <c r="B3822" t="str">
        <f>T("   Sièges, avec bâti en métal, rembourrés (autres que pour véhicules aériens ou automobiles, autres que fauteuils pivotants ajustables en hauteur et autres que pour la médecine, l'art dentaire ou la chirurgie)")</f>
        <v xml:space="preserve">   Sièges, avec bâti en métal, rembourrés (autres que pour véhicules aériens ou automobiles, autres que fauteuils pivotants ajustables en hauteur et autres que pour la médecine, l'art dentaire ou la chirurgie)</v>
      </c>
      <c r="C3822">
        <v>17452472</v>
      </c>
      <c r="D3822">
        <v>2000</v>
      </c>
    </row>
    <row r="3823" spans="1:4" x14ac:dyDescent="0.25">
      <c r="A3823" t="str">
        <f>T("   940179")</f>
        <v xml:space="preserve">   940179</v>
      </c>
      <c r="B3823" t="str">
        <f>T("   Sièges, avec bâti en métal non rembourrés (autres que fauteuils pivotants ajustables en hauteur et autres que pour la médecine, l'art dentaire ou la chirurgie)")</f>
        <v xml:space="preserve">   Sièges, avec bâti en métal non rembourrés (autres que fauteuils pivotants ajustables en hauteur et autres que pour la médecine, l'art dentaire ou la chirurgie)</v>
      </c>
      <c r="C3823">
        <v>2122031</v>
      </c>
      <c r="D3823">
        <v>1791</v>
      </c>
    </row>
    <row r="3824" spans="1:4" x14ac:dyDescent="0.25">
      <c r="A3824" t="str">
        <f>T("   940180")</f>
        <v xml:space="preserve">   940180</v>
      </c>
      <c r="B3824" t="str">
        <f>T("   Sièges, n.d.a.")</f>
        <v xml:space="preserve">   Sièges, n.d.a.</v>
      </c>
      <c r="C3824">
        <v>81339</v>
      </c>
      <c r="D3824">
        <v>160</v>
      </c>
    </row>
    <row r="3825" spans="1:4" x14ac:dyDescent="0.25">
      <c r="A3825" t="str">
        <f>T("   940210")</f>
        <v xml:space="preserve">   940210</v>
      </c>
      <c r="B3825" t="str">
        <f>T("   Fauteuils de dentistes, fauteuils pour salons de coiffure et fauteuils simil., avec dispositif à la fois d'orientation et d'élévation, et leurs parties, n.d.a.")</f>
        <v xml:space="preserve">   Fauteuils de dentistes, fauteuils pour salons de coiffure et fauteuils simil., avec dispositif à la fois d'orientation et d'élévation, et leurs parties, n.d.a.</v>
      </c>
      <c r="C3825">
        <v>2886224</v>
      </c>
      <c r="D3825">
        <v>2880</v>
      </c>
    </row>
    <row r="3826" spans="1:4" x14ac:dyDescent="0.25">
      <c r="A3826" t="str">
        <f>T("   940290")</f>
        <v xml:space="preserve">   940290</v>
      </c>
      <c r="B3826" t="str">
        <f>T("   Tables d'opération, tables d'examen et autre mobilier pour la médecine, la chirurgie, l'art dentaire ou vétérinaire (sauf fauteuils de dentistes et autres sièges, tables d'examen radiographique, civières et brancards, y.c. chariots-brancards)")</f>
        <v xml:space="preserve">   Tables d'opération, tables d'examen et autre mobilier pour la médecine, la chirurgie, l'art dentaire ou vétérinaire (sauf fauteuils de dentistes et autres sièges, tables d'examen radiographique, civières et brancards, y.c. chariots-brancards)</v>
      </c>
      <c r="C3826">
        <v>1340710</v>
      </c>
      <c r="D3826">
        <v>1623</v>
      </c>
    </row>
    <row r="3827" spans="1:4" x14ac:dyDescent="0.25">
      <c r="A3827" t="str">
        <f>T("   940310")</f>
        <v xml:space="preserve">   940310</v>
      </c>
      <c r="B3827" t="str">
        <f>T("   Meubles de bureau en métal (sauf sièges)")</f>
        <v xml:space="preserve">   Meubles de bureau en métal (sauf sièges)</v>
      </c>
      <c r="C3827">
        <v>43093568</v>
      </c>
      <c r="D3827">
        <v>32402</v>
      </c>
    </row>
    <row r="3828" spans="1:4" x14ac:dyDescent="0.25">
      <c r="A3828" t="str">
        <f>T("   940320")</f>
        <v xml:space="preserve">   940320</v>
      </c>
      <c r="B3828" t="str">
        <f>T("   Meubles en métal, sauf meubles de bureau, sièges et mobilier pour la médecine, la chirurgie, l'art dentaire ou vétérinaire")</f>
        <v xml:space="preserve">   Meubles en métal, sauf meubles de bureau, sièges et mobilier pour la médecine, la chirurgie, l'art dentaire ou vétérinaire</v>
      </c>
      <c r="C3828">
        <v>6560</v>
      </c>
      <c r="D3828">
        <v>25</v>
      </c>
    </row>
    <row r="3829" spans="1:4" x14ac:dyDescent="0.25">
      <c r="A3829" t="str">
        <f>T("   940330")</f>
        <v xml:space="preserve">   940330</v>
      </c>
      <c r="B3829" t="str">
        <f>T("   Meubles de bureau en bois (sauf sièges)")</f>
        <v xml:space="preserve">   Meubles de bureau en bois (sauf sièges)</v>
      </c>
      <c r="C3829">
        <v>9342838</v>
      </c>
      <c r="D3829">
        <v>1000</v>
      </c>
    </row>
    <row r="3830" spans="1:4" x14ac:dyDescent="0.25">
      <c r="A3830" t="str">
        <f>T("   940360")</f>
        <v xml:space="preserve">   940360</v>
      </c>
      <c r="B3830" t="str">
        <f>T("   Meubles en bois (autres que pour bureaux, cuisines ou chambres à coucher et autres que sièges)")</f>
        <v xml:space="preserve">   Meubles en bois (autres que pour bureaux, cuisines ou chambres à coucher et autres que sièges)</v>
      </c>
      <c r="C3830">
        <v>908944</v>
      </c>
      <c r="D3830">
        <v>3419</v>
      </c>
    </row>
    <row r="3831" spans="1:4" x14ac:dyDescent="0.25">
      <c r="A3831" t="str">
        <f>T("   940370")</f>
        <v xml:space="preserve">   940370</v>
      </c>
      <c r="B3831" t="str">
        <f>T("   Meubles en matières plastiques (autres que pour la médecine, l'art dentaire et vétérinaire, la chirurgie et autres que sièges)")</f>
        <v xml:space="preserve">   Meubles en matières plastiques (autres que pour la médecine, l'art dentaire et vétérinaire, la chirurgie et autres que sièges)</v>
      </c>
      <c r="C3831">
        <v>7283124</v>
      </c>
      <c r="D3831">
        <v>725</v>
      </c>
    </row>
    <row r="3832" spans="1:4" x14ac:dyDescent="0.25">
      <c r="A3832" t="str">
        <f>T("   940380")</f>
        <v xml:space="preserve">   940380</v>
      </c>
      <c r="B3832" t="str">
        <f>T("   Meubles en rotin, osier, bambou ou autres matières (sauf métal, bois et matières plastiques)")</f>
        <v xml:space="preserve">   Meubles en rotin, osier, bambou ou autres matières (sauf métal, bois et matières plastiques)</v>
      </c>
      <c r="C3832">
        <v>993209</v>
      </c>
      <c r="D3832">
        <v>5394</v>
      </c>
    </row>
    <row r="3833" spans="1:4" x14ac:dyDescent="0.25">
      <c r="A3833" t="str">
        <f>T("   940390")</f>
        <v xml:space="preserve">   940390</v>
      </c>
      <c r="B3833" t="str">
        <f>T("   PARTIES DE MEUBLES, N.D.A. (AUTRES QUE DE SIÈGES ET MOBILIER POUR LA MÉDECINE, L'ART DENTAIRE ET VÉTÉRINAIRE OU LA CHIRURGIE)")</f>
        <v xml:space="preserve">   PARTIES DE MEUBLES, N.D.A. (AUTRES QUE DE SIÈGES ET MOBILIER POUR LA MÉDECINE, L'ART DENTAIRE ET VÉTÉRINAIRE OU LA CHIRURGIE)</v>
      </c>
      <c r="C3833">
        <v>554287</v>
      </c>
      <c r="D3833">
        <v>81</v>
      </c>
    </row>
    <row r="3834" spans="1:4" x14ac:dyDescent="0.25">
      <c r="A3834" t="str">
        <f>T("   940429")</f>
        <v xml:space="preserve">   940429</v>
      </c>
      <c r="B3834" t="str">
        <f>T("   Matelas à ressorts ou rembourrés, ou garnis intérieurement de matières autres que le caoutchouc alvéolaire ou les matières plastiques alvéolaires (sauf matelas à eau, matelas pneumatiques et oreillers)")</f>
        <v xml:space="preserve">   Matelas à ressorts ou rembourrés, ou garnis intérieurement de matières autres que le caoutchouc alvéolaire ou les matières plastiques alvéolaires (sauf matelas à eau, matelas pneumatiques et oreillers)</v>
      </c>
      <c r="C3834">
        <v>718276</v>
      </c>
      <c r="D3834">
        <v>4968</v>
      </c>
    </row>
    <row r="3835" spans="1:4" x14ac:dyDescent="0.25">
      <c r="A3835" t="str">
        <f>T("   940490")</f>
        <v xml:space="preserve">   940490</v>
      </c>
      <c r="B3835" t="s">
        <v>508</v>
      </c>
      <c r="C3835">
        <v>262384</v>
      </c>
      <c r="D3835">
        <v>150</v>
      </c>
    </row>
    <row r="3836" spans="1:4" x14ac:dyDescent="0.25">
      <c r="A3836" t="str">
        <f>T("   940510")</f>
        <v xml:space="preserve">   940510</v>
      </c>
      <c r="B3836" t="str">
        <f>T("   Lustres et autres appareils d'éclairage électrique à suspendre ou à fixer au plafond ou au mur (sauf pour l'éclairage des espaces et voies publiques)")</f>
        <v xml:space="preserve">   Lustres et autres appareils d'éclairage électrique à suspendre ou à fixer au plafond ou au mur (sauf pour l'éclairage des espaces et voies publiques)</v>
      </c>
      <c r="C3836">
        <v>280095</v>
      </c>
      <c r="D3836">
        <v>720</v>
      </c>
    </row>
    <row r="3837" spans="1:4" x14ac:dyDescent="0.25">
      <c r="A3837" t="str">
        <f>T("   950390")</f>
        <v xml:space="preserve">   950390</v>
      </c>
      <c r="B3837" t="str">
        <f>T("   Jouets, n.d.a.")</f>
        <v xml:space="preserve">   Jouets, n.d.a.</v>
      </c>
      <c r="C3837">
        <v>50000</v>
      </c>
      <c r="D3837">
        <v>210</v>
      </c>
    </row>
    <row r="3838" spans="1:4" x14ac:dyDescent="0.25">
      <c r="A3838" t="str">
        <f>T("   950490")</f>
        <v xml:space="preserve">   950490</v>
      </c>
      <c r="B3838" t="s">
        <v>510</v>
      </c>
      <c r="C3838">
        <v>65596</v>
      </c>
      <c r="D3838">
        <v>40</v>
      </c>
    </row>
    <row r="3839" spans="1:4" x14ac:dyDescent="0.25">
      <c r="A3839" t="str">
        <f>T("   950590")</f>
        <v xml:space="preserve">   950590</v>
      </c>
      <c r="B3839" t="str">
        <f>T("   Articles pour fêtes, carnaval ou autres divertissements, y.c. les articles de magie et articles-surprises, n.d.a.")</f>
        <v xml:space="preserve">   Articles pour fêtes, carnaval ou autres divertissements, y.c. les articles de magie et articles-surprises, n.d.a.</v>
      </c>
      <c r="C3839">
        <v>48705</v>
      </c>
      <c r="D3839">
        <v>1</v>
      </c>
    </row>
    <row r="3840" spans="1:4" x14ac:dyDescent="0.25">
      <c r="A3840" t="str">
        <f>T("   950662")</f>
        <v xml:space="preserve">   950662</v>
      </c>
      <c r="B3840" t="str">
        <f>T("   Ballons et balles gonflables")</f>
        <v xml:space="preserve">   Ballons et balles gonflables</v>
      </c>
      <c r="C3840">
        <v>46574</v>
      </c>
      <c r="D3840">
        <v>41</v>
      </c>
    </row>
    <row r="3841" spans="1:4" x14ac:dyDescent="0.25">
      <c r="A3841" t="str">
        <f>T("   950699")</f>
        <v xml:space="preserve">   950699</v>
      </c>
      <c r="B3841" t="str">
        <f>T("   Articles et matériel pour le sport et les jeux de plein air, n.d.a.; piscines et pataugeoires")</f>
        <v xml:space="preserve">   Articles et matériel pour le sport et les jeux de plein air, n.d.a.; piscines et pataugeoires</v>
      </c>
      <c r="C3841">
        <v>111517</v>
      </c>
      <c r="D3841">
        <v>300</v>
      </c>
    </row>
    <row r="3842" spans="1:4" x14ac:dyDescent="0.25">
      <c r="A3842" t="str">
        <f>T("   960321")</f>
        <v xml:space="preserve">   960321</v>
      </c>
      <c r="B3842" t="str">
        <f>T("   Brosses à dent, y.c. brosses à prothèses dentaires")</f>
        <v xml:space="preserve">   Brosses à dent, y.c. brosses à prothèses dentaires</v>
      </c>
      <c r="C3842">
        <v>4541211</v>
      </c>
      <c r="D3842">
        <v>4705</v>
      </c>
    </row>
    <row r="3843" spans="1:4" x14ac:dyDescent="0.25">
      <c r="A3843" t="str">
        <f>T("   960810")</f>
        <v xml:space="preserve">   960810</v>
      </c>
      <c r="B3843" t="str">
        <f>T("   Stylos et crayons à bille")</f>
        <v xml:space="preserve">   Stylos et crayons à bille</v>
      </c>
      <c r="C3843">
        <v>26239</v>
      </c>
      <c r="D3843">
        <v>57</v>
      </c>
    </row>
    <row r="3844" spans="1:4" x14ac:dyDescent="0.25">
      <c r="A3844" t="str">
        <f>T("   961000")</f>
        <v xml:space="preserve">   961000</v>
      </c>
      <c r="B3844" t="str">
        <f>T("   Ardoises et tableaux pour l'écriture ou le dessin, même encadrés")</f>
        <v xml:space="preserve">   Ardoises et tableaux pour l'écriture ou le dessin, même encadrés</v>
      </c>
      <c r="C3844">
        <v>13119</v>
      </c>
      <c r="D3844">
        <v>50</v>
      </c>
    </row>
    <row r="3845" spans="1:4" x14ac:dyDescent="0.25">
      <c r="A3845" t="str">
        <f>T("ET")</f>
        <v>ET</v>
      </c>
      <c r="B3845" t="str">
        <f>T("Ethiopie")</f>
        <v>Ethiopie</v>
      </c>
    </row>
    <row r="3846" spans="1:4" x14ac:dyDescent="0.25">
      <c r="A3846" t="str">
        <f>T("   ZZ_Total_Produit_SH6")</f>
        <v xml:space="preserve">   ZZ_Total_Produit_SH6</v>
      </c>
      <c r="B3846" t="str">
        <f>T("   ZZ_Total_Produit_SH6")</f>
        <v xml:space="preserve">   ZZ_Total_Produit_SH6</v>
      </c>
      <c r="C3846">
        <v>9623840</v>
      </c>
      <c r="D3846">
        <v>14000</v>
      </c>
    </row>
    <row r="3847" spans="1:4" x14ac:dyDescent="0.25">
      <c r="A3847" t="str">
        <f>T("   620590")</f>
        <v xml:space="preserve">   620590</v>
      </c>
      <c r="B3847"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3847">
        <v>2655960</v>
      </c>
      <c r="D3847">
        <v>3900</v>
      </c>
    </row>
    <row r="3848" spans="1:4" x14ac:dyDescent="0.25">
      <c r="A3848" t="str">
        <f>T("   732394")</f>
        <v xml:space="preserve">   732394</v>
      </c>
      <c r="B3848" t="s">
        <v>361</v>
      </c>
      <c r="C3848">
        <v>1924768</v>
      </c>
      <c r="D3848">
        <v>2600</v>
      </c>
    </row>
    <row r="3849" spans="1:4" x14ac:dyDescent="0.25">
      <c r="A3849" t="str">
        <f>T("   940350")</f>
        <v xml:space="preserve">   940350</v>
      </c>
      <c r="B3849" t="str">
        <f>T("   Meubles pour chambres à coucher, en bois (sauf sièges)")</f>
        <v xml:space="preserve">   Meubles pour chambres à coucher, en bois (sauf sièges)</v>
      </c>
      <c r="C3849">
        <v>5043112</v>
      </c>
      <c r="D3849">
        <v>7500</v>
      </c>
    </row>
    <row r="3850" spans="1:4" x14ac:dyDescent="0.25">
      <c r="A3850" t="str">
        <f>T("FI")</f>
        <v>FI</v>
      </c>
      <c r="B3850" t="str">
        <f>T("Finlande")</f>
        <v>Finlande</v>
      </c>
    </row>
    <row r="3851" spans="1:4" x14ac:dyDescent="0.25">
      <c r="A3851" t="str">
        <f>T("   ZZ_Total_Produit_SH6")</f>
        <v xml:space="preserve">   ZZ_Total_Produit_SH6</v>
      </c>
      <c r="B3851" t="str">
        <f>T("   ZZ_Total_Produit_SH6")</f>
        <v xml:space="preserve">   ZZ_Total_Produit_SH6</v>
      </c>
      <c r="C3851">
        <v>432190206</v>
      </c>
      <c r="D3851">
        <v>129356.3</v>
      </c>
    </row>
    <row r="3852" spans="1:4" x14ac:dyDescent="0.25">
      <c r="A3852" t="str">
        <f>T("   252620")</f>
        <v xml:space="preserve">   252620</v>
      </c>
      <c r="B3852" t="str">
        <f>T("   Stéatite naturelle, broyée ou pulvérisée")</f>
        <v xml:space="preserve">   Stéatite naturelle, broyée ou pulvérisée</v>
      </c>
      <c r="C3852">
        <v>4243405</v>
      </c>
      <c r="D3852">
        <v>19150</v>
      </c>
    </row>
    <row r="3853" spans="1:4" x14ac:dyDescent="0.25">
      <c r="A3853" t="str">
        <f>T("   271019")</f>
        <v xml:space="preserve">   271019</v>
      </c>
      <c r="B3853" t="str">
        <f>T("   Huiles moyennes et préparations, de pétrole ou de minéraux bitumineux, n.d.a.")</f>
        <v xml:space="preserve">   Huiles moyennes et préparations, de pétrole ou de minéraux bitumineux, n.d.a.</v>
      </c>
      <c r="C3853">
        <v>6312880</v>
      </c>
      <c r="D3853">
        <v>168</v>
      </c>
    </row>
    <row r="3854" spans="1:4" x14ac:dyDescent="0.25">
      <c r="A3854" t="str">
        <f>T("   271113")</f>
        <v xml:space="preserve">   271113</v>
      </c>
      <c r="B3854" t="str">
        <f>T("   Butanes, liquéfiés (à l'excl. des butanes d'une pureté &gt;= 95% en n-butane ou en isobutane)")</f>
        <v xml:space="preserve">   Butanes, liquéfiés (à l'excl. des butanes d'une pureté &gt;= 95% en n-butane ou en isobutane)</v>
      </c>
      <c r="C3854">
        <v>51984000</v>
      </c>
      <c r="D3854">
        <v>100000</v>
      </c>
    </row>
    <row r="3855" spans="1:4" x14ac:dyDescent="0.25">
      <c r="A3855" t="str">
        <f>T("   300660")</f>
        <v xml:space="preserve">   300660</v>
      </c>
      <c r="B3855" t="str">
        <f>T("   Préparations chimiques contraceptives à base d'hormones, de prostaglandines, de thromboxanes, de leucotriènes, de leurs dérivés et analogues structurels ou de spermicides")</f>
        <v xml:space="preserve">   Préparations chimiques contraceptives à base d'hormones, de prostaglandines, de thromboxanes, de leucotriènes, de leurs dérivés et analogues structurels ou de spermicides</v>
      </c>
      <c r="C3855">
        <v>165736503</v>
      </c>
      <c r="D3855">
        <v>329</v>
      </c>
    </row>
    <row r="3856" spans="1:4" x14ac:dyDescent="0.25">
      <c r="A3856" t="str">
        <f>T("   400912")</f>
        <v xml:space="preserve">   400912</v>
      </c>
      <c r="B3856" t="str">
        <f>T("   TUBES ET TUYAUX EN CAOUTCHOUC VULCANISÉ NON DURCI, NON RENFORCÉS À L'AIDE D'AUTRES MATIÈRES NI AUTREMENT ASSOCIÉS À D'AUTRES MATIÈRES, AVEC ACCESSOIRES [JOINTS, COUDES, RACCORDS, PAR EXEMPLE]")</f>
        <v xml:space="preserve">   TUBES ET TUYAUX EN CAOUTCHOUC VULCANISÉ NON DURCI, NON RENFORCÉS À L'AIDE D'AUTRES MATIÈRES NI AUTREMENT ASSOCIÉS À D'AUTRES MATIÈRES, AVEC ACCESSOIRES [JOINTS, COUDES, RACCORDS, PAR EXEMPLE]</v>
      </c>
      <c r="C3856">
        <v>297622</v>
      </c>
      <c r="D3856">
        <v>10</v>
      </c>
    </row>
    <row r="3857" spans="1:4" x14ac:dyDescent="0.25">
      <c r="A3857" t="str">
        <f>T("   400941")</f>
        <v xml:space="preserve">   400941</v>
      </c>
      <c r="B3857" t="str">
        <f>T("   Tubes et tuyaux en caoutchouc vulcanisé non durci, renforcés à l'aide d'autres matières que le métal ou les matières textiles ou autrement associés à d'autres matières que le métal ou les matières textiles, sans accessoires")</f>
        <v xml:space="preserve">   Tubes et tuyaux en caoutchouc vulcanisé non durci, renforcés à l'aide d'autres matières que le métal ou les matières textiles ou autrement associés à d'autres matières que le métal ou les matières textiles, sans accessoires</v>
      </c>
      <c r="C3857">
        <v>935688</v>
      </c>
      <c r="D3857">
        <v>36.979999999999997</v>
      </c>
    </row>
    <row r="3858" spans="1:4" x14ac:dyDescent="0.25">
      <c r="A3858" t="str">
        <f>T("   401039")</f>
        <v xml:space="preserve">   401039</v>
      </c>
      <c r="B3858" t="s">
        <v>154</v>
      </c>
      <c r="C3858">
        <v>1336840</v>
      </c>
      <c r="D3858">
        <v>135</v>
      </c>
    </row>
    <row r="3859" spans="1:4" x14ac:dyDescent="0.25">
      <c r="A3859" t="str">
        <f>T("   420219")</f>
        <v xml:space="preserve">   420219</v>
      </c>
      <c r="B3859" t="s">
        <v>161</v>
      </c>
      <c r="C3859">
        <v>1085614</v>
      </c>
      <c r="D3859">
        <v>90</v>
      </c>
    </row>
    <row r="3860" spans="1:4" x14ac:dyDescent="0.25">
      <c r="A3860" t="str">
        <f>T("   420292")</f>
        <v xml:space="preserve">   420292</v>
      </c>
      <c r="B3860" t="s">
        <v>163</v>
      </c>
      <c r="C3860">
        <v>8527</v>
      </c>
      <c r="D3860">
        <v>1</v>
      </c>
    </row>
    <row r="3861" spans="1:4" x14ac:dyDescent="0.25">
      <c r="A3861" t="str">
        <f>T("   480640")</f>
        <v xml:space="preserve">   480640</v>
      </c>
      <c r="B3861" t="s">
        <v>199</v>
      </c>
      <c r="C3861">
        <v>2076769</v>
      </c>
      <c r="D3861">
        <v>862</v>
      </c>
    </row>
    <row r="3862" spans="1:4" x14ac:dyDescent="0.25">
      <c r="A3862" t="str">
        <f>T("   491199")</f>
        <v xml:space="preserve">   491199</v>
      </c>
      <c r="B3862" t="str">
        <f>T("   Imprimés, n.d.a.")</f>
        <v xml:space="preserve">   Imprimés, n.d.a.</v>
      </c>
      <c r="C3862">
        <v>764849</v>
      </c>
      <c r="D3862">
        <v>11</v>
      </c>
    </row>
    <row r="3863" spans="1:4" x14ac:dyDescent="0.25">
      <c r="A3863" t="str">
        <f>T("   731816")</f>
        <v xml:space="preserve">   731816</v>
      </c>
      <c r="B3863" t="str">
        <f>T("   ÉCROUS EN FONTE, FER OU ACIER")</f>
        <v xml:space="preserve">   ÉCROUS EN FONTE, FER OU ACIER</v>
      </c>
      <c r="C3863">
        <v>4451706</v>
      </c>
      <c r="D3863">
        <v>177</v>
      </c>
    </row>
    <row r="3864" spans="1:4" x14ac:dyDescent="0.25">
      <c r="A3864" t="str">
        <f>T("   830160")</f>
        <v xml:space="preserve">   830160</v>
      </c>
      <c r="B3864" t="str">
        <f>T("   Parties des cadenas, serrures et verrous, ainsi que des fermoirs et montures-fermoirs, avec serrure, en métaux communs, n.d.a.")</f>
        <v xml:space="preserve">   Parties des cadenas, serrures et verrous, ainsi que des fermoirs et montures-fermoirs, avec serrure, en métaux communs, n.d.a.</v>
      </c>
      <c r="C3864">
        <v>5340170</v>
      </c>
      <c r="D3864">
        <v>13</v>
      </c>
    </row>
    <row r="3865" spans="1:4" x14ac:dyDescent="0.25">
      <c r="A3865" t="str">
        <f>T("   830170")</f>
        <v xml:space="preserve">   830170</v>
      </c>
      <c r="B3865" t="str">
        <f>T("   Clefs présentées isolément, pour cadenas, serrures et verrous, ainsi que pour fermoirs et montures-fermoirs avec serrure, en métaux communs")</f>
        <v xml:space="preserve">   Clefs présentées isolément, pour cadenas, serrures et verrous, ainsi que pour fermoirs et montures-fermoirs avec serrure, en métaux communs</v>
      </c>
      <c r="C3865">
        <v>2062994</v>
      </c>
      <c r="D3865">
        <v>6</v>
      </c>
    </row>
    <row r="3866" spans="1:4" x14ac:dyDescent="0.25">
      <c r="A3866" t="str">
        <f>T("   841381")</f>
        <v xml:space="preserve">   841381</v>
      </c>
      <c r="B3866" t="s">
        <v>393</v>
      </c>
      <c r="C3866">
        <v>2026844</v>
      </c>
      <c r="D3866">
        <v>69</v>
      </c>
    </row>
    <row r="3867" spans="1:4" x14ac:dyDescent="0.25">
      <c r="A3867" t="str">
        <f>T("   843120")</f>
        <v xml:space="preserve">   843120</v>
      </c>
      <c r="B3867" t="str">
        <f>T("   Parties de chariots-gerbeurs et autres chariots de manutention munis d'un dispositif de levage, n.d.a.")</f>
        <v xml:space="preserve">   Parties de chariots-gerbeurs et autres chariots de manutention munis d'un dispositif de levage, n.d.a.</v>
      </c>
      <c r="C3867">
        <v>68326854</v>
      </c>
      <c r="D3867">
        <v>5140.76</v>
      </c>
    </row>
    <row r="3868" spans="1:4" x14ac:dyDescent="0.25">
      <c r="A3868" t="str">
        <f>T("   843139")</f>
        <v xml:space="preserve">   843139</v>
      </c>
      <c r="B3868" t="str">
        <f>T("   Parties de machines et appareils du n° 8428, n.d.a.")</f>
        <v xml:space="preserve">   Parties de machines et appareils du n° 8428, n.d.a.</v>
      </c>
      <c r="C3868">
        <v>16372959</v>
      </c>
      <c r="D3868">
        <v>648</v>
      </c>
    </row>
    <row r="3869" spans="1:4" x14ac:dyDescent="0.25">
      <c r="A3869" t="str">
        <f>T("   843149")</f>
        <v xml:space="preserve">   843149</v>
      </c>
      <c r="B3869" t="str">
        <f>T("   Parties de machines et appareils du n° 8426, 8429 ou 8430, n.d.a.")</f>
        <v xml:space="preserve">   Parties de machines et appareils du n° 8426, 8429 ou 8430, n.d.a.</v>
      </c>
      <c r="C3869">
        <v>19765898</v>
      </c>
      <c r="D3869">
        <v>362.93</v>
      </c>
    </row>
    <row r="3870" spans="1:4" x14ac:dyDescent="0.25">
      <c r="A3870" t="str">
        <f>T("   847130")</f>
        <v xml:space="preserve">   847130</v>
      </c>
      <c r="B3870" t="str">
        <f>T("   Machines automatiques de traitement de l'information numériques, portatives, d'un poids &lt;= 10 kg, comportant au moins une unité centrale de traitement, un clavier et un écran (à l'excl. des unités périphériques)")</f>
        <v xml:space="preserve">   Machines automatiques de traitement de l'information numériques, portatives, d'un poids &lt;= 10 kg, comportant au moins une unité centrale de traitement, un clavier et un écran (à l'excl. des unités périphériques)</v>
      </c>
      <c r="C3870">
        <v>3264057</v>
      </c>
      <c r="D3870">
        <v>36</v>
      </c>
    </row>
    <row r="3871" spans="1:4" x14ac:dyDescent="0.25">
      <c r="A3871" t="str">
        <f>T("   847170")</f>
        <v xml:space="preserve">   847170</v>
      </c>
      <c r="B3871" t="str">
        <f>T("   UNITÉS DE MÉMOIRE POUR MACHINES AUTOMATIQUES DE TRAITEMENT DE L'INFORMATION")</f>
        <v xml:space="preserve">   UNITÉS DE MÉMOIRE POUR MACHINES AUTOMATIQUES DE TRAITEMENT DE L'INFORMATION</v>
      </c>
      <c r="C3871">
        <v>269600</v>
      </c>
      <c r="D3871">
        <v>2</v>
      </c>
    </row>
    <row r="3872" spans="1:4" x14ac:dyDescent="0.25">
      <c r="A3872" t="str">
        <f>T("   848180")</f>
        <v xml:space="preserve">   848180</v>
      </c>
      <c r="B3872" t="str">
        <f>T("   Articles de robinetterie et organes simil. pour tuyauteries, etc. (à l'excl. des détendeurs, valves pour transmissions oléohydrauliques ou pneumatiques, clapets et soupapes de retenue et sauf soupapes de trop-plein ou de sûreté)")</f>
        <v xml:space="preserve">   Articles de robinetterie et organes simil. pour tuyauteries, etc. (à l'excl. des détendeurs, valves pour transmissions oléohydrauliques ou pneumatiques, clapets et soupapes de retenue et sauf soupapes de trop-plein ou de sûreté)</v>
      </c>
      <c r="C3872">
        <v>3214250</v>
      </c>
      <c r="D3872">
        <v>83</v>
      </c>
    </row>
    <row r="3873" spans="1:4" x14ac:dyDescent="0.25">
      <c r="A3873" t="str">
        <f>T("   848490")</f>
        <v xml:space="preserve">   848490</v>
      </c>
      <c r="B3873" t="str">
        <f>T("   Jeux ou assortiments de joints de composition différente présentés en pochettes, enveloppes ou emballages analogues")</f>
        <v xml:space="preserve">   Jeux ou assortiments de joints de composition différente présentés en pochettes, enveloppes ou emballages analogues</v>
      </c>
      <c r="C3873">
        <v>58865141</v>
      </c>
      <c r="D3873">
        <v>1633.63</v>
      </c>
    </row>
    <row r="3874" spans="1:4" x14ac:dyDescent="0.25">
      <c r="A3874" t="str">
        <f>T("   852822")</f>
        <v xml:space="preserve">   852822</v>
      </c>
      <c r="B3874" t="str">
        <f>T("   Moniteurs vidéo en noir et blanc ou en autres monochromes")</f>
        <v xml:space="preserve">   Moniteurs vidéo en noir et blanc ou en autres monochromes</v>
      </c>
      <c r="C3874">
        <v>374553</v>
      </c>
      <c r="D3874">
        <v>7</v>
      </c>
    </row>
    <row r="3875" spans="1:4" x14ac:dyDescent="0.25">
      <c r="A3875" t="str">
        <f>T("   852830")</f>
        <v xml:space="preserve">   852830</v>
      </c>
      <c r="B3875" t="str">
        <f>T("   Projecteurs vidéo")</f>
        <v xml:space="preserve">   Projecteurs vidéo</v>
      </c>
      <c r="C3875">
        <v>366682</v>
      </c>
      <c r="D3875">
        <v>7</v>
      </c>
    </row>
    <row r="3876" spans="1:4" x14ac:dyDescent="0.25">
      <c r="A3876" t="str">
        <f>T("   853610")</f>
        <v xml:space="preserve">   853610</v>
      </c>
      <c r="B3876" t="str">
        <f>T("   Fusibles et coupe-circuit à fusibles, pour une tension &lt;= 1.000 V")</f>
        <v xml:space="preserve">   Fusibles et coupe-circuit à fusibles, pour une tension &lt;= 1.000 V</v>
      </c>
      <c r="C3876">
        <v>2278293</v>
      </c>
      <c r="D3876">
        <v>48</v>
      </c>
    </row>
    <row r="3877" spans="1:4" x14ac:dyDescent="0.25">
      <c r="A3877" t="str">
        <f>T("   853649")</f>
        <v xml:space="preserve">   853649</v>
      </c>
      <c r="B3877" t="str">
        <f>T("   Relais, pour une tension &gt; 60 V mais &lt;= 1.000 V")</f>
        <v xml:space="preserve">   Relais, pour une tension &gt; 60 V mais &lt;= 1.000 V</v>
      </c>
      <c r="C3877">
        <v>1638162</v>
      </c>
      <c r="D3877">
        <v>44</v>
      </c>
    </row>
    <row r="3878" spans="1:4" x14ac:dyDescent="0.25">
      <c r="A3878" t="str">
        <f>T("   853650")</f>
        <v xml:space="preserve">   853650</v>
      </c>
      <c r="B3878" t="str">
        <f>T("   Interrupteurs, sectionneurs et commutateurs, pour une tension &lt;= 1.000 V (autres que relais et disjoncteurs)")</f>
        <v xml:space="preserve">   Interrupteurs, sectionneurs et commutateurs, pour une tension &lt;= 1.000 V (autres que relais et disjoncteurs)</v>
      </c>
      <c r="C3878">
        <v>779746</v>
      </c>
      <c r="D3878">
        <v>20</v>
      </c>
    </row>
    <row r="3879" spans="1:4" x14ac:dyDescent="0.25">
      <c r="A3879" t="str">
        <f>T("   854229")</f>
        <v xml:space="preserve">   854229</v>
      </c>
      <c r="B3879" t="str">
        <f>T("   Circuits intégrés monolithiques, analogiques ou analogiques-numériques")</f>
        <v xml:space="preserve">   Circuits intégrés monolithiques, analogiques ou analogiques-numériques</v>
      </c>
      <c r="C3879">
        <v>20991</v>
      </c>
      <c r="D3879">
        <v>1</v>
      </c>
    </row>
    <row r="3880" spans="1:4" x14ac:dyDescent="0.25">
      <c r="A3880" t="str">
        <f>T("   854430")</f>
        <v xml:space="preserve">   854430</v>
      </c>
      <c r="B3880" t="str">
        <f>T("   Jeux de fils pour bougies d'allumage et autres jeux de fils, pour moyens de transport")</f>
        <v xml:space="preserve">   Jeux de fils pour bougies d'allumage et autres jeux de fils, pour moyens de transport</v>
      </c>
      <c r="C3880">
        <v>41273</v>
      </c>
      <c r="D3880">
        <v>1</v>
      </c>
    </row>
    <row r="3881" spans="1:4" x14ac:dyDescent="0.25">
      <c r="A3881" t="str">
        <f>T("   854449")</f>
        <v xml:space="preserve">   854449</v>
      </c>
      <c r="B3881" t="str">
        <f>T("   CONDUCTEURS ÉLECTRIQUES, POUR TENSION &lt;= 1.000 V, ISOLÉS, SANS PIÈCES DE CONNEXION, N.D.A.")</f>
        <v xml:space="preserve">   CONDUCTEURS ÉLECTRIQUES, POUR TENSION &lt;= 1.000 V, ISOLÉS, SANS PIÈCES DE CONNEXION, N.D.A.</v>
      </c>
      <c r="C3881">
        <v>6763328</v>
      </c>
      <c r="D3881">
        <v>171</v>
      </c>
    </row>
    <row r="3882" spans="1:4" x14ac:dyDescent="0.25">
      <c r="A3882" t="str">
        <f>T("   961000")</f>
        <v xml:space="preserve">   961000</v>
      </c>
      <c r="B3882" t="str">
        <f>T("   Ardoises et tableaux pour l'écriture ou le dessin, même encadrés")</f>
        <v xml:space="preserve">   Ardoises et tableaux pour l'écriture ou le dessin, même encadrés</v>
      </c>
      <c r="C3882">
        <v>1184008</v>
      </c>
      <c r="D3882">
        <v>93</v>
      </c>
    </row>
    <row r="3883" spans="1:4" x14ac:dyDescent="0.25">
      <c r="A3883" t="str">
        <f>T("FJ")</f>
        <v>FJ</v>
      </c>
      <c r="B3883" t="str">
        <f>T("Fiji")</f>
        <v>Fiji</v>
      </c>
    </row>
    <row r="3884" spans="1:4" x14ac:dyDescent="0.25">
      <c r="A3884" t="str">
        <f>T("   ZZ_Total_Produit_SH6")</f>
        <v xml:space="preserve">   ZZ_Total_Produit_SH6</v>
      </c>
      <c r="B3884" t="str">
        <f>T("   ZZ_Total_Produit_SH6")</f>
        <v xml:space="preserve">   ZZ_Total_Produit_SH6</v>
      </c>
      <c r="C3884">
        <v>201253603.50999999</v>
      </c>
      <c r="D3884">
        <v>752000</v>
      </c>
    </row>
    <row r="3885" spans="1:4" x14ac:dyDescent="0.25">
      <c r="A3885" t="str">
        <f>T("   110100")</f>
        <v xml:space="preserve">   110100</v>
      </c>
      <c r="B3885" t="str">
        <f>T("   Farines de froment [blé] ou de méteil")</f>
        <v xml:space="preserve">   Farines de froment [blé] ou de méteil</v>
      </c>
      <c r="C3885">
        <v>201253603.50999999</v>
      </c>
      <c r="D3885">
        <v>752000</v>
      </c>
    </row>
    <row r="3886" spans="1:4" x14ac:dyDescent="0.25">
      <c r="A3886" t="str">
        <f>T("FK")</f>
        <v>FK</v>
      </c>
      <c r="B3886" t="str">
        <f>T("Falkland, îles (Malvinas)")</f>
        <v>Falkland, îles (Malvinas)</v>
      </c>
    </row>
    <row r="3887" spans="1:4" x14ac:dyDescent="0.25">
      <c r="A3887" t="str">
        <f>T("   ZZ_Total_Produit_SH6")</f>
        <v xml:space="preserve">   ZZ_Total_Produit_SH6</v>
      </c>
      <c r="B3887" t="str">
        <f>T("   ZZ_Total_Produit_SH6")</f>
        <v xml:space="preserve">   ZZ_Total_Produit_SH6</v>
      </c>
      <c r="C3887">
        <v>8740000</v>
      </c>
      <c r="D3887">
        <v>5819</v>
      </c>
    </row>
    <row r="3888" spans="1:4" x14ac:dyDescent="0.25">
      <c r="A3888" t="str">
        <f>T("   650610")</f>
        <v xml:space="preserve">   650610</v>
      </c>
      <c r="B3888" t="str">
        <f>T("   Coiffures de sécurité, même garnies")</f>
        <v xml:space="preserve">   Coiffures de sécurité, même garnies</v>
      </c>
      <c r="C3888">
        <v>8740000</v>
      </c>
      <c r="D3888">
        <v>5819</v>
      </c>
    </row>
    <row r="3889" spans="1:4" x14ac:dyDescent="0.25">
      <c r="A3889" t="str">
        <f>T("FR")</f>
        <v>FR</v>
      </c>
      <c r="B3889" t="str">
        <f>T("France")</f>
        <v>France</v>
      </c>
    </row>
    <row r="3890" spans="1:4" x14ac:dyDescent="0.25">
      <c r="A3890" t="str">
        <f>T("   ZZ_Total_Produit_SH6")</f>
        <v xml:space="preserve">   ZZ_Total_Produit_SH6</v>
      </c>
      <c r="B3890" t="str">
        <f>T("   ZZ_Total_Produit_SH6")</f>
        <v xml:space="preserve">   ZZ_Total_Produit_SH6</v>
      </c>
      <c r="C3890">
        <v>160971829360.05801</v>
      </c>
      <c r="D3890">
        <v>238044338.50999999</v>
      </c>
    </row>
    <row r="3891" spans="1:4" x14ac:dyDescent="0.25">
      <c r="A3891" t="str">
        <f>T("   010511")</f>
        <v xml:space="preserve">   010511</v>
      </c>
      <c r="B3891" t="str">
        <f>T("   Coqs et poules [des espèces domestiques], vivants, d'un poids &lt;= 185 g")</f>
        <v xml:space="preserve">   Coqs et poules [des espèces domestiques], vivants, d'un poids &lt;= 185 g</v>
      </c>
      <c r="C3891">
        <v>8484186</v>
      </c>
      <c r="D3891">
        <v>4685</v>
      </c>
    </row>
    <row r="3892" spans="1:4" x14ac:dyDescent="0.25">
      <c r="A3892" t="str">
        <f>T("   020210")</f>
        <v xml:space="preserve">   020210</v>
      </c>
      <c r="B3892" t="str">
        <f>T("   Carcasses ou demi-carcasses, de bovins, congelées")</f>
        <v xml:space="preserve">   Carcasses ou demi-carcasses, de bovins, congelées</v>
      </c>
      <c r="C3892">
        <v>13750889</v>
      </c>
      <c r="D3892">
        <v>12500</v>
      </c>
    </row>
    <row r="3893" spans="1:4" x14ac:dyDescent="0.25">
      <c r="A3893" t="str">
        <f>T("   020220")</f>
        <v xml:space="preserve">   020220</v>
      </c>
      <c r="B3893" t="str">
        <f>T("   MORCEAUX NON-DÉSOSSÉS, DE BOVINS, CONGELÉS (À L'EXCL. DES CARCASSES ET DES DEMI-CARCASSES)")</f>
        <v xml:space="preserve">   MORCEAUX NON-DÉSOSSÉS, DE BOVINS, CONGELÉS (À L'EXCL. DES CARCASSES ET DES DEMI-CARCASSES)</v>
      </c>
      <c r="C3893">
        <v>3041031</v>
      </c>
      <c r="D3893">
        <v>2788</v>
      </c>
    </row>
    <row r="3894" spans="1:4" x14ac:dyDescent="0.25">
      <c r="A3894" t="str">
        <f>T("   020230")</f>
        <v xml:space="preserve">   020230</v>
      </c>
      <c r="B3894" t="str">
        <f>T("   Viandes désossées de bovins, congelées")</f>
        <v xml:space="preserve">   Viandes désossées de bovins, congelées</v>
      </c>
      <c r="C3894">
        <v>31320392</v>
      </c>
      <c r="D3894">
        <v>41904</v>
      </c>
    </row>
    <row r="3895" spans="1:4" x14ac:dyDescent="0.25">
      <c r="A3895" t="str">
        <f>T("   020312")</f>
        <v xml:space="preserve">   020312</v>
      </c>
      <c r="B3895" t="str">
        <f>T("   JAMBONS, ÉPAULES ET LEURS MORCEAUX, NON-DÉSOSSÉS, DE PORCINS, FRAIS OU RÉFRIGÉRÉS")</f>
        <v xml:space="preserve">   JAMBONS, ÉPAULES ET LEURS MORCEAUX, NON-DÉSOSSÉS, DE PORCINS, FRAIS OU RÉFRIGÉRÉS</v>
      </c>
      <c r="C3895">
        <v>2125697</v>
      </c>
      <c r="D3895">
        <v>6237</v>
      </c>
    </row>
    <row r="3896" spans="1:4" x14ac:dyDescent="0.25">
      <c r="A3896" t="str">
        <f>T("   020322")</f>
        <v xml:space="preserve">   020322</v>
      </c>
      <c r="B3896" t="str">
        <f>T("   JAMBONS, ÉPAULES ET LEURS MORCEAUX, NON-DÉSOSSÉS, DE PORCINS, CONGELÉS")</f>
        <v xml:space="preserve">   JAMBONS, ÉPAULES ET LEURS MORCEAUX, NON-DÉSOSSÉS, DE PORCINS, CONGELÉS</v>
      </c>
      <c r="C3896">
        <v>563470</v>
      </c>
      <c r="D3896">
        <v>904</v>
      </c>
    </row>
    <row r="3897" spans="1:4" x14ac:dyDescent="0.25">
      <c r="A3897" t="str">
        <f>T("   020422")</f>
        <v xml:space="preserve">   020422</v>
      </c>
      <c r="B3897" t="str">
        <f>T("   MORCEAUX NON-DÉSOSSÉS, D'OVINS, FRAIS OU RÉFRIGÉRÉS (À L'EXCL. DES CARCASSES OU DEMI-CARCASSES)")</f>
        <v xml:space="preserve">   MORCEAUX NON-DÉSOSSÉS, D'OVINS, FRAIS OU RÉFRIGÉRÉS (À L'EXCL. DES CARCASSES OU DEMI-CARCASSES)</v>
      </c>
      <c r="C3897">
        <v>2999706</v>
      </c>
      <c r="D3897">
        <v>4794</v>
      </c>
    </row>
    <row r="3898" spans="1:4" x14ac:dyDescent="0.25">
      <c r="A3898" t="str">
        <f>T("   020430")</f>
        <v xml:space="preserve">   020430</v>
      </c>
      <c r="B3898" t="str">
        <f>T("   Carcasses ou demi-carcasses, d'agneaux, congelées")</f>
        <v xml:space="preserve">   Carcasses ou demi-carcasses, d'agneaux, congelées</v>
      </c>
      <c r="C3898">
        <v>35577959</v>
      </c>
      <c r="D3898">
        <v>27520</v>
      </c>
    </row>
    <row r="3899" spans="1:4" x14ac:dyDescent="0.25">
      <c r="A3899" t="str">
        <f>T("   020442")</f>
        <v xml:space="preserve">   020442</v>
      </c>
      <c r="B3899" t="str">
        <f>T("   MORCEAUX NON-DÉSOSSÉS, D'OVINS, CONGELÉS (À L'EXCL. DES CARCASSES OU DEMI-CARCASSES)")</f>
        <v xml:space="preserve">   MORCEAUX NON-DÉSOSSÉS, D'OVINS, CONGELÉS (À L'EXCL. DES CARCASSES OU DEMI-CARCASSES)</v>
      </c>
      <c r="C3899">
        <v>3870820</v>
      </c>
      <c r="D3899">
        <v>2486</v>
      </c>
    </row>
    <row r="3900" spans="1:4" x14ac:dyDescent="0.25">
      <c r="A3900" t="str">
        <f>T("   020621")</f>
        <v xml:space="preserve">   020621</v>
      </c>
      <c r="B3900" t="str">
        <f>T("   Langues de bovins, comestibles, congelées")</f>
        <v xml:space="preserve">   Langues de bovins, comestibles, congelées</v>
      </c>
      <c r="C3900">
        <v>12463</v>
      </c>
      <c r="D3900">
        <v>4</v>
      </c>
    </row>
    <row r="3901" spans="1:4" x14ac:dyDescent="0.25">
      <c r="A3901" t="str">
        <f>T("   020629")</f>
        <v xml:space="preserve">   020629</v>
      </c>
      <c r="B3901" t="str">
        <f>T("   Abats comestibles de bovins, congelés (à l'excl. des langues et des foies)")</f>
        <v xml:space="preserve">   Abats comestibles de bovins, congelés (à l'excl. des langues et des foies)</v>
      </c>
      <c r="C3901">
        <v>67723161</v>
      </c>
      <c r="D3901">
        <v>98260</v>
      </c>
    </row>
    <row r="3902" spans="1:4" x14ac:dyDescent="0.25">
      <c r="A3902" t="str">
        <f>T("   020649")</f>
        <v xml:space="preserve">   020649</v>
      </c>
      <c r="B3902" t="str">
        <f>T("   Abats comestibles de porcins, congelés (à l'excl. des foies)")</f>
        <v xml:space="preserve">   Abats comestibles de porcins, congelés (à l'excl. des foies)</v>
      </c>
      <c r="C3902">
        <v>635625</v>
      </c>
      <c r="D3902">
        <v>404</v>
      </c>
    </row>
    <row r="3903" spans="1:4" x14ac:dyDescent="0.25">
      <c r="A3903" t="str">
        <f>T("   020711")</f>
        <v xml:space="preserve">   020711</v>
      </c>
      <c r="B3903" t="str">
        <f>T("   COQS ET POULES [DES ESPÈCES DOMESTIQUES], NON-DÉCOUPÉS EN MORCEAUX, FRAIS OU RÉFRIGÉRÉS")</f>
        <v xml:space="preserve">   COQS ET POULES [DES ESPÈCES DOMESTIQUES], NON-DÉCOUPÉS EN MORCEAUX, FRAIS OU RÉFRIGÉRÉS</v>
      </c>
      <c r="C3903">
        <v>1526465</v>
      </c>
      <c r="D3903">
        <v>2602.5300000000002</v>
      </c>
    </row>
    <row r="3904" spans="1:4" x14ac:dyDescent="0.25">
      <c r="A3904" t="str">
        <f>T("   020712")</f>
        <v xml:space="preserve">   020712</v>
      </c>
      <c r="B3904" t="str">
        <f>T("   COQS ET POULES [DES ESPÈCES DOMESTIQUES], NON-DÉCOUPÉS EN MORCEAUX, CONGELÉS")</f>
        <v xml:space="preserve">   COQS ET POULES [DES ESPÈCES DOMESTIQUES], NON-DÉCOUPÉS EN MORCEAUX, CONGELÉS</v>
      </c>
      <c r="C3904">
        <v>3129783974</v>
      </c>
      <c r="D3904">
        <v>4995760</v>
      </c>
    </row>
    <row r="3905" spans="1:4" x14ac:dyDescent="0.25">
      <c r="A3905" t="str">
        <f>T("   020713")</f>
        <v xml:space="preserve">   020713</v>
      </c>
      <c r="B3905" t="str">
        <f>T("   Morceaux et abats comestibles de coqs et de poules [des espèces domestiques], frais ou réfrigérés")</f>
        <v xml:space="preserve">   Morceaux et abats comestibles de coqs et de poules [des espèces domestiques], frais ou réfrigérés</v>
      </c>
      <c r="C3905">
        <v>62822188</v>
      </c>
      <c r="D3905">
        <v>104260</v>
      </c>
    </row>
    <row r="3906" spans="1:4" x14ac:dyDescent="0.25">
      <c r="A3906" t="str">
        <f>T("   020714")</f>
        <v xml:space="preserve">   020714</v>
      </c>
      <c r="B3906" t="str">
        <f>T("   Morceaux et abats comestibles de coqs et de poules [des espèces domestiques], congelés")</f>
        <v xml:space="preserve">   Morceaux et abats comestibles de coqs et de poules [des espèces domestiques], congelés</v>
      </c>
      <c r="C3906">
        <v>10765892216</v>
      </c>
      <c r="D3906">
        <v>17274890</v>
      </c>
    </row>
    <row r="3907" spans="1:4" x14ac:dyDescent="0.25">
      <c r="A3907" t="str">
        <f>T("   020725")</f>
        <v xml:space="preserve">   020725</v>
      </c>
      <c r="B3907" t="str">
        <f>T("   DINDES ET DINDONS [DES ESPÈCES DOMESTIQUES], NON-DÉCOUPÉS EN MORCEAUX, CONGELÉS")</f>
        <v xml:space="preserve">   DINDES ET DINDONS [DES ESPÈCES DOMESTIQUES], NON-DÉCOUPÉS EN MORCEAUX, CONGELÉS</v>
      </c>
      <c r="C3907">
        <v>11754424</v>
      </c>
      <c r="D3907">
        <v>18881</v>
      </c>
    </row>
    <row r="3908" spans="1:4" x14ac:dyDescent="0.25">
      <c r="A3908" t="str">
        <f>T("   020726")</f>
        <v xml:space="preserve">   020726</v>
      </c>
      <c r="B3908" t="str">
        <f>T("   Morceaux et abats comestibles de dindes et dindons [des espèces domestiques], frais ou réfrigérés")</f>
        <v xml:space="preserve">   Morceaux et abats comestibles de dindes et dindons [des espèces domestiques], frais ou réfrigérés</v>
      </c>
      <c r="C3908">
        <v>15579050</v>
      </c>
      <c r="D3908">
        <v>25000</v>
      </c>
    </row>
    <row r="3909" spans="1:4" x14ac:dyDescent="0.25">
      <c r="A3909" t="str">
        <f>T("   020727")</f>
        <v xml:space="preserve">   020727</v>
      </c>
      <c r="B3909" t="str">
        <f>T("   Morceaux et abats comestibles de dindes et dindons [des espèces domestiques], congelés")</f>
        <v xml:space="preserve">   Morceaux et abats comestibles de dindes et dindons [des espèces domestiques], congelés</v>
      </c>
      <c r="C3909">
        <v>12389892035</v>
      </c>
      <c r="D3909">
        <v>19893811.170000002</v>
      </c>
    </row>
    <row r="3910" spans="1:4" x14ac:dyDescent="0.25">
      <c r="A3910" t="str">
        <f>T("   020733")</f>
        <v xml:space="preserve">   020733</v>
      </c>
      <c r="B3910" t="str">
        <f>T("   CANARDS, OIES OU PINTADES [DES ESPÈCES DOMESTIQUES], NON-DÉCOUPÉS EN MORCEAUX, CONGELÉS")</f>
        <v xml:space="preserve">   CANARDS, OIES OU PINTADES [DES ESPÈCES DOMESTIQUES], NON-DÉCOUPÉS EN MORCEAUX, CONGELÉS</v>
      </c>
      <c r="C3910">
        <v>2115092</v>
      </c>
      <c r="D3910">
        <v>3400</v>
      </c>
    </row>
    <row r="3911" spans="1:4" x14ac:dyDescent="0.25">
      <c r="A3911" t="str">
        <f>T("   020736")</f>
        <v xml:space="preserve">   020736</v>
      </c>
      <c r="B3911" t="str">
        <f>T("   Morceaux et abats comestibles de canards, d'oies ou de pintades [des espèces domestiques], congelés (à l'excl. des foies gras)")</f>
        <v xml:space="preserve">   Morceaux et abats comestibles de canards, d'oies ou de pintades [des espèces domestiques], congelés (à l'excl. des foies gras)</v>
      </c>
      <c r="C3911">
        <v>98476533</v>
      </c>
      <c r="D3911">
        <v>157999</v>
      </c>
    </row>
    <row r="3912" spans="1:4" x14ac:dyDescent="0.25">
      <c r="A3912" t="str">
        <f>T("   020810")</f>
        <v xml:space="preserve">   020810</v>
      </c>
      <c r="B3912" t="str">
        <f>T("   Viandes et abats comestibles de lapins ou de lièvres, frais, réfrigérés ou congelés")</f>
        <v xml:space="preserve">   Viandes et abats comestibles de lapins ou de lièvres, frais, réfrigérés ou congelés</v>
      </c>
      <c r="C3912">
        <v>60650187</v>
      </c>
      <c r="D3912">
        <v>66642</v>
      </c>
    </row>
    <row r="3913" spans="1:4" x14ac:dyDescent="0.25">
      <c r="A3913" t="str">
        <f>T("   021011")</f>
        <v xml:space="preserve">   021011</v>
      </c>
      <c r="B3913" t="str">
        <f>T("   JAMBONS, ÉPAULES ET LEURS MORCEAUX, NON-DÉSOSSÉS, DE PORCINS, SALÉS OU EN SAUMURE, SÉCHÉS OU FUMÉS")</f>
        <v xml:space="preserve">   JAMBONS, ÉPAULES ET LEURS MORCEAUX, NON-DÉSOSSÉS, DE PORCINS, SALÉS OU EN SAUMURE, SÉCHÉS OU FUMÉS</v>
      </c>
      <c r="C3913">
        <v>178421</v>
      </c>
      <c r="D3913">
        <v>215</v>
      </c>
    </row>
    <row r="3914" spans="1:4" x14ac:dyDescent="0.25">
      <c r="A3914" t="str">
        <f>T("   021019")</f>
        <v xml:space="preserve">   021019</v>
      </c>
      <c r="B3914" t="str">
        <f>T("   VIANDES DE PORCINS, SALÉES OU EN SAUMURE, SÉCHÉES OU FUMÉES (À L'EXCL. DES JAMBONS, ÉPAULES ET LEURS MORCEAUX, NON-DÉSOSSÉS, AINSI QUE DES POITRINES [ENTRELARDÉS] ET LEURS MORCEAUX)")</f>
        <v xml:space="preserve">   VIANDES DE PORCINS, SALÉES OU EN SAUMURE, SÉCHÉES OU FUMÉES (À L'EXCL. DES JAMBONS, ÉPAULES ET LEURS MORCEAUX, NON-DÉSOSSÉS, AINSI QUE DES POITRINES [ENTRELARDÉS] ET LEURS MORCEAUX)</v>
      </c>
      <c r="C3914">
        <v>4846141</v>
      </c>
      <c r="D3914">
        <v>7646</v>
      </c>
    </row>
    <row r="3915" spans="1:4" x14ac:dyDescent="0.25">
      <c r="A3915" t="str">
        <f>T("   021099")</f>
        <v xml:space="preserve">   021099</v>
      </c>
      <c r="B3915" t="s">
        <v>14</v>
      </c>
      <c r="C3915">
        <v>13753702</v>
      </c>
      <c r="D3915">
        <v>21798</v>
      </c>
    </row>
    <row r="3916" spans="1:4" x14ac:dyDescent="0.25">
      <c r="A3916" t="str">
        <f>T("   030229")</f>
        <v xml:space="preserve">   030229</v>
      </c>
      <c r="B3916" t="str">
        <f>T("   POISSONS PLATS [PLEURONECTIDÉS, BOTHIDÉS, CYNOGLOSSIDÉS, SOLÉIDÉS, SCOPHTHALMIDÉS ET CITHARIDÉS], FRAIS OU RÉFRIGÉRÉS (À L'EXCL. DES FLÉTANS, DES PLIES OU CARRELETS ET DES SOLES)")</f>
        <v xml:space="preserve">   POISSONS PLATS [PLEURONECTIDÉS, BOTHIDÉS, CYNOGLOSSIDÉS, SOLÉIDÉS, SCOPHTHALMIDÉS ET CITHARIDÉS], FRAIS OU RÉFRIGÉRÉS (À L'EXCL. DES FLÉTANS, DES PLIES OU CARRELETS ET DES SOLES)</v>
      </c>
      <c r="C3916">
        <v>11391138</v>
      </c>
      <c r="D3916">
        <v>50625</v>
      </c>
    </row>
    <row r="3917" spans="1:4" x14ac:dyDescent="0.25">
      <c r="A3917" t="str">
        <f>T("   030319")</f>
        <v xml:space="preserve">   030319</v>
      </c>
      <c r="B3917" t="str">
        <f>T("   Saumons du Pacifique [Oncorhynchus gorbuscha, Oncorhynchus keta, Oncorhynchus tschawytscha, Oncorhynchus kisutch, Oncorhynchus masou et Oncorhynchus rhodurus], congelés (à l'excl. des saumons rouges [Oncorhynchus nerka])")</f>
        <v xml:space="preserve">   Saumons du Pacifique [Oncorhynchus gorbuscha, Oncorhynchus keta, Oncorhynchus tschawytscha, Oncorhynchus kisutch, Oncorhynchus masou et Oncorhynchus rhodurus], congelés (à l'excl. des saumons rouges [Oncorhynchus nerka])</v>
      </c>
      <c r="C3917">
        <v>535264</v>
      </c>
      <c r="D3917">
        <v>604</v>
      </c>
    </row>
    <row r="3918" spans="1:4" x14ac:dyDescent="0.25">
      <c r="A3918" t="str">
        <f>T("   030322")</f>
        <v xml:space="preserve">   030322</v>
      </c>
      <c r="B3918" t="str">
        <f>T("   Saumons de l'Atlantique [Salmo salar] et saumons du Danube [Hucho hucho], congelés")</f>
        <v xml:space="preserve">   Saumons de l'Atlantique [Salmo salar] et saumons du Danube [Hucho hucho], congelés</v>
      </c>
      <c r="C3918">
        <v>245986</v>
      </c>
      <c r="D3918">
        <v>319</v>
      </c>
    </row>
    <row r="3919" spans="1:4" x14ac:dyDescent="0.25">
      <c r="A3919" t="str">
        <f>T("   030339")</f>
        <v xml:space="preserve">   030339</v>
      </c>
      <c r="B3919" t="str">
        <f>T("   Poissons plats [pleuronectidés, bothidés, cynoglossidés, soléidés, scophthalmidés et citharidés], congelés (à l'excl. des flétans, des plies ou carrelets et des soles)")</f>
        <v xml:space="preserve">   Poissons plats [pleuronectidés, bothidés, cynoglossidés, soléidés, scophthalmidés et citharidés], congelés (à l'excl. des flétans, des plies ou carrelets et des soles)</v>
      </c>
      <c r="C3919">
        <v>5633057</v>
      </c>
      <c r="D3919">
        <v>25000</v>
      </c>
    </row>
    <row r="3920" spans="1:4" x14ac:dyDescent="0.25">
      <c r="A3920" t="str">
        <f>T("   030349")</f>
        <v xml:space="preserve">   030349</v>
      </c>
      <c r="B3920" t="str">
        <f>T("   Thons du genre 'Thunnus', congelés (à l'excl. des thons des espèces 'Thunnus alalunga, Thunnus albacares, Thunnus obesus, Thunnus thynnus et Thunnus maccoyii')")</f>
        <v xml:space="preserve">   Thons du genre 'Thunnus', congelés (à l'excl. des thons des espèces 'Thunnus alalunga, Thunnus albacares, Thunnus obesus, Thunnus thynnus et Thunnus maccoyii')</v>
      </c>
      <c r="C3920">
        <v>5633057</v>
      </c>
      <c r="D3920">
        <v>25000</v>
      </c>
    </row>
    <row r="3921" spans="1:4" x14ac:dyDescent="0.25">
      <c r="A3921" t="str">
        <f>T("   030378")</f>
        <v xml:space="preserve">   030378</v>
      </c>
      <c r="B3921" t="str">
        <f>T("   Merlus [Merluccius spp., Urophycis spp.], congelés")</f>
        <v xml:space="preserve">   Merlus [Merluccius spp., Urophycis spp.], congelés</v>
      </c>
      <c r="C3921">
        <v>12578033</v>
      </c>
      <c r="D3921">
        <v>55900</v>
      </c>
    </row>
    <row r="3922" spans="1:4" x14ac:dyDescent="0.25">
      <c r="A3922" t="str">
        <f>T("   030379")</f>
        <v xml:space="preserve">   030379</v>
      </c>
      <c r="B3922" t="s">
        <v>15</v>
      </c>
      <c r="C3922">
        <v>3294508448</v>
      </c>
      <c r="D3922">
        <v>14653445</v>
      </c>
    </row>
    <row r="3923" spans="1:4" x14ac:dyDescent="0.25">
      <c r="A3923" t="str">
        <f>T("   030420")</f>
        <v xml:space="preserve">   030420</v>
      </c>
      <c r="B3923" t="str">
        <f>T("   Filets de poissons, congelés")</f>
        <v xml:space="preserve">   Filets de poissons, congelés</v>
      </c>
      <c r="C3923">
        <v>4074169</v>
      </c>
      <c r="D3923">
        <v>3948</v>
      </c>
    </row>
    <row r="3924" spans="1:4" x14ac:dyDescent="0.25">
      <c r="A3924" t="str">
        <f>T("   030490")</f>
        <v xml:space="preserve">   030490</v>
      </c>
      <c r="B3924" t="str">
        <f>T("   Chair de poissons (sauf filets), même hachée, congelée")</f>
        <v xml:space="preserve">   Chair de poissons (sauf filets), même hachée, congelée</v>
      </c>
      <c r="C3924">
        <v>3025286</v>
      </c>
      <c r="D3924">
        <v>1671</v>
      </c>
    </row>
    <row r="3925" spans="1:4" x14ac:dyDescent="0.25">
      <c r="A3925" t="str">
        <f>T("   030530")</f>
        <v xml:space="preserve">   030530</v>
      </c>
      <c r="B3925" t="str">
        <f>T("   FILETS DE POISSONS, SÉCHÉS, SALÉS OU EN SAUMURE, MAIS NON-FUMÉS")</f>
        <v xml:space="preserve">   FILETS DE POISSONS, SÉCHÉS, SALÉS OU EN SAUMURE, MAIS NON-FUMÉS</v>
      </c>
      <c r="C3925">
        <v>363561</v>
      </c>
      <c r="D3925">
        <v>181</v>
      </c>
    </row>
    <row r="3926" spans="1:4" x14ac:dyDescent="0.25">
      <c r="A3926" t="str">
        <f>T("   030541")</f>
        <v xml:space="preserve">   030541</v>
      </c>
      <c r="B3926" t="str">
        <f>T("   Filets de saumons du Pacifique [Oncorhynchus spp.], de saumons de l'Atlantique [Salmo salar] et de saumons du Danube [Hucho hucho], frais ou réfrigérés")</f>
        <v xml:space="preserve">   Filets de saumons du Pacifique [Oncorhynchus spp.], de saumons de l'Atlantique [Salmo salar] et de saumons du Danube [Hucho hucho], frais ou réfrigérés</v>
      </c>
      <c r="C3926">
        <v>1324384</v>
      </c>
      <c r="D3926">
        <v>1384</v>
      </c>
    </row>
    <row r="3927" spans="1:4" x14ac:dyDescent="0.25">
      <c r="A3927" t="str">
        <f>T("   030559")</f>
        <v xml:space="preserve">   030559</v>
      </c>
      <c r="B3927" t="str">
        <f>T("   POISSONS SÉCHÉS, MÊME SALÉS, MAIS NON-FUMÉS (À L'EXCL. DES MORUES ET DE TOUS LES FILETS DE POISSONS)")</f>
        <v xml:space="preserve">   POISSONS SÉCHÉS, MÊME SALÉS, MAIS NON-FUMÉS (À L'EXCL. DES MORUES ET DE TOUS LES FILETS DE POISSONS)</v>
      </c>
      <c r="C3927">
        <v>290000</v>
      </c>
      <c r="D3927">
        <v>500</v>
      </c>
    </row>
    <row r="3928" spans="1:4" x14ac:dyDescent="0.25">
      <c r="A3928" t="str">
        <f>T("   030569")</f>
        <v xml:space="preserve">   030569</v>
      </c>
      <c r="B3928" t="str">
        <f>T("   Poissons, uniquement salés ou en saumure (à l'excl. des harengs, des morues, des anchois ainsi que de tous les filets de poissons)")</f>
        <v xml:space="preserve">   Poissons, uniquement salés ou en saumure (à l'excl. des harengs, des morues, des anchois ainsi que de tous les filets de poissons)</v>
      </c>
      <c r="C3928">
        <v>2411309</v>
      </c>
      <c r="D3928">
        <v>2086</v>
      </c>
    </row>
    <row r="3929" spans="1:4" x14ac:dyDescent="0.25">
      <c r="A3929" t="str">
        <f>T("   030613")</f>
        <v xml:space="preserve">   030613</v>
      </c>
      <c r="B3929" t="str">
        <f>T("   CREVETTES, MÊME DÉCORTIQUÉES, CONGELÉES, Y.C. LES CREVETTES NON-DÉCORTIQUÉES PRÉALABLEMENT CUITES À L'EAU OU À LA VAPEUR")</f>
        <v xml:space="preserve">   CREVETTES, MÊME DÉCORTIQUÉES, CONGELÉES, Y.C. LES CREVETTES NON-DÉCORTIQUÉES PRÉALABLEMENT CUITES À L'EAU OU À LA VAPEUR</v>
      </c>
      <c r="C3929">
        <v>501154</v>
      </c>
      <c r="D3929">
        <v>710</v>
      </c>
    </row>
    <row r="3930" spans="1:4" x14ac:dyDescent="0.25">
      <c r="A3930" t="str">
        <f>T("   030619")</f>
        <v xml:space="preserve">   030619</v>
      </c>
      <c r="B3930" t="s">
        <v>16</v>
      </c>
      <c r="C3930">
        <v>1290273</v>
      </c>
      <c r="D3930">
        <v>1494</v>
      </c>
    </row>
    <row r="3931" spans="1:4" x14ac:dyDescent="0.25">
      <c r="A3931" t="str">
        <f>T("   030623")</f>
        <v xml:space="preserve">   030623</v>
      </c>
      <c r="B3931" t="str">
        <f>T("   CREVETTES, MÊME DÉCORTIQUÉES, VIVANTES, FRAÎCHES, RÉFRIGÉRÉES, SÉCHÉES, SALÉES OU EN SAUMURE, Y.C. LES CREVETTES NON-DÉCORTIQUÉES PRÉALABLEMENT CUITES À L'EAU OU À LA VAPEUR")</f>
        <v xml:space="preserve">   CREVETTES, MÊME DÉCORTIQUÉES, VIVANTES, FRAÎCHES, RÉFRIGÉRÉES, SÉCHÉES, SALÉES OU EN SAUMURE, Y.C. LES CREVETTES NON-DÉCORTIQUÉES PRÉALABLEMENT CUITES À L'EAU OU À LA VAPEUR</v>
      </c>
      <c r="C3931">
        <v>138408</v>
      </c>
      <c r="D3931">
        <v>228</v>
      </c>
    </row>
    <row r="3932" spans="1:4" x14ac:dyDescent="0.25">
      <c r="A3932" t="str">
        <f>T("   030710")</f>
        <v xml:space="preserve">   030710</v>
      </c>
      <c r="B3932" t="str">
        <f>T("   Huîtres, vivantes, fraîches, réfrigérées, congelées, séchées, salées ou en saumure")</f>
        <v xml:space="preserve">   Huîtres, vivantes, fraîches, réfrigérées, congelées, séchées, salées ou en saumure</v>
      </c>
      <c r="C3932">
        <v>863427</v>
      </c>
      <c r="D3932">
        <v>240</v>
      </c>
    </row>
    <row r="3933" spans="1:4" x14ac:dyDescent="0.25">
      <c r="A3933" t="str">
        <f>T("   030739")</f>
        <v xml:space="preserve">   030739</v>
      </c>
      <c r="B3933" t="str">
        <f>T("   Moules [Mytilus spp., Perna spp.], même séparées de leur coquille, congelées, séchées, salées ou en saumure")</f>
        <v xml:space="preserve">   Moules [Mytilus spp., Perna spp.], même séparées de leur coquille, congelées, séchées, salées ou en saumure</v>
      </c>
      <c r="C3933">
        <v>1166955</v>
      </c>
      <c r="D3933">
        <v>1975</v>
      </c>
    </row>
    <row r="3934" spans="1:4" x14ac:dyDescent="0.25">
      <c r="A3934" t="str">
        <f>T("   040110")</f>
        <v xml:space="preserve">   040110</v>
      </c>
      <c r="B3934" t="str">
        <f>T("   LAIT ET CRÈME DE LAIT, NON-CONCENTRÉS NI ADDITIONNÉS DE SUCRE OU D'AUTRES ÉDULCORANTS, D'UNE TENEUR EN POIDS DE MATIÈRES GRASSES &lt;= 1%")</f>
        <v xml:space="preserve">   LAIT ET CRÈME DE LAIT, NON-CONCENTRÉS NI ADDITIONNÉS DE SUCRE OU D'AUTRES ÉDULCORANTS, D'UNE TENEUR EN POIDS DE MATIÈRES GRASSES &lt;= 1%</v>
      </c>
      <c r="C3934">
        <v>9022728</v>
      </c>
      <c r="D3934">
        <v>16840</v>
      </c>
    </row>
    <row r="3935" spans="1:4" x14ac:dyDescent="0.25">
      <c r="A3935" t="str">
        <f>T("   040120")</f>
        <v xml:space="preserve">   040120</v>
      </c>
      <c r="B3935" t="str">
        <f>T("   LAIT ET CRÈME DE LAIT, NON-CONCENTRÉS NI ADDITIONNÉS DE SUCRE OU D'AUTRES ÉDULCORANTS, D'UNE TENEUR EN POIDS DE MATIÈRES GRASSES &gt; 1% MAIS &lt;= 6%")</f>
        <v xml:space="preserve">   LAIT ET CRÈME DE LAIT, NON-CONCENTRÉS NI ADDITIONNÉS DE SUCRE OU D'AUTRES ÉDULCORANTS, D'UNE TENEUR EN POIDS DE MATIÈRES GRASSES &gt; 1% MAIS &lt;= 6%</v>
      </c>
      <c r="C3935">
        <v>220133374</v>
      </c>
      <c r="D3935">
        <v>474034</v>
      </c>
    </row>
    <row r="3936" spans="1:4" x14ac:dyDescent="0.25">
      <c r="A3936" t="str">
        <f>T("   040130")</f>
        <v xml:space="preserve">   040130</v>
      </c>
      <c r="B3936" t="str">
        <f>T("   LAIT ET CRÈME DE LAIT, NON-CONCENTRÉS NI ADDITIONNÉS DE SUCRE OU D'AUTRES ÉDULCORANTS, D'UNE TENEUR EN POIDS DE MATIÈRES GRASSES &gt; 6%")</f>
        <v xml:space="preserve">   LAIT ET CRÈME DE LAIT, NON-CONCENTRÉS NI ADDITIONNÉS DE SUCRE OU D'AUTRES ÉDULCORANTS, D'UNE TENEUR EN POIDS DE MATIÈRES GRASSES &gt; 6%</v>
      </c>
      <c r="C3936">
        <v>105781214</v>
      </c>
      <c r="D3936">
        <v>192768.14</v>
      </c>
    </row>
    <row r="3937" spans="1:4" x14ac:dyDescent="0.25">
      <c r="A3937" t="str">
        <f>T("   040210")</f>
        <v xml:space="preserve">   040210</v>
      </c>
      <c r="B3937" t="str">
        <f>T("   Lait et crème de lait, en poudre, en granulés ou sous d'autres formes solides, d'une teneur en poids de matières grasses &lt;= 1,5%")</f>
        <v xml:space="preserve">   Lait et crème de lait, en poudre, en granulés ou sous d'autres formes solides, d'une teneur en poids de matières grasses &lt;= 1,5%</v>
      </c>
      <c r="C3937">
        <v>64518414</v>
      </c>
      <c r="D3937">
        <v>44203</v>
      </c>
    </row>
    <row r="3938" spans="1:4" x14ac:dyDescent="0.25">
      <c r="A3938" t="str">
        <f>T("   040221")</f>
        <v xml:space="preserve">   040221</v>
      </c>
      <c r="B3938" t="str">
        <f>T("   Lait et crème de lait, en poudre, en granulés ou sous d'autres formes solides, d'une teneur en poids de matières grasses &gt; 1,5%, sans addition de sucre ou d'autres édulcorants")</f>
        <v xml:space="preserve">   Lait et crème de lait, en poudre, en granulés ou sous d'autres formes solides, d'une teneur en poids de matières grasses &gt; 1,5%, sans addition de sucre ou d'autres édulcorants</v>
      </c>
      <c r="C3938">
        <v>920218472</v>
      </c>
      <c r="D3938">
        <v>460467</v>
      </c>
    </row>
    <row r="3939" spans="1:4" x14ac:dyDescent="0.25">
      <c r="A3939" t="str">
        <f>T("   040229")</f>
        <v xml:space="preserve">   040229</v>
      </c>
      <c r="B3939" t="str">
        <f>T("   Lait et crème de lait, en poudre, en granulés ou sous d'autres formes solides, d'une teneur en poids de matières grasses &gt; 1,5%, avec addition de sucre ou d'autres édulcorants")</f>
        <v xml:space="preserve">   Lait et crème de lait, en poudre, en granulés ou sous d'autres formes solides, d'une teneur en poids de matières grasses &gt; 1,5%, avec addition de sucre ou d'autres édulcorants</v>
      </c>
      <c r="C3939">
        <v>60000005</v>
      </c>
      <c r="D3939">
        <v>26312</v>
      </c>
    </row>
    <row r="3940" spans="1:4" x14ac:dyDescent="0.25">
      <c r="A3940" t="str">
        <f>T("   040299")</f>
        <v xml:space="preserve">   040299</v>
      </c>
      <c r="B3940" t="str">
        <f>T("   Lait et crème de lait, concentrés, additionnés de sucre ou d'autres édulcorants (à l'excl. des laits et crèmes de lait en poudre, en granulés ou sous d'autres formes solides)")</f>
        <v xml:space="preserve">   Lait et crème de lait, concentrés, additionnés de sucre ou d'autres édulcorants (à l'excl. des laits et crèmes de lait en poudre, en granulés ou sous d'autres formes solides)</v>
      </c>
      <c r="C3940">
        <v>208272609</v>
      </c>
      <c r="D3940">
        <v>259240</v>
      </c>
    </row>
    <row r="3941" spans="1:4" x14ac:dyDescent="0.25">
      <c r="A3941" t="str">
        <f>T("   040310")</f>
        <v xml:space="preserve">   040310</v>
      </c>
      <c r="B3941" t="str">
        <f>T("   Yoghourts, même additionnés de sucre ou d'autres édulcorants ou aromatisés ou additionnés de fruits ou de cacao")</f>
        <v xml:space="preserve">   Yoghourts, même additionnés de sucre ou d'autres édulcorants ou aromatisés ou additionnés de fruits ou de cacao</v>
      </c>
      <c r="C3941">
        <v>83603915</v>
      </c>
      <c r="D3941">
        <v>110195.97</v>
      </c>
    </row>
    <row r="3942" spans="1:4" x14ac:dyDescent="0.25">
      <c r="A3942" t="str">
        <f>T("   040390")</f>
        <v xml:space="preserve">   040390</v>
      </c>
      <c r="B3942" t="str">
        <f>T("   Babeurre, lait et crème caillés, képhir et autres laits et crèmes fermentés ou acidifiés, même concentrés ou additionnés de sucre ou d'autres édulcorants ou aromatisés ou additionnés de fruits ou de cacao (à l'excl. des yoghourts)")</f>
        <v xml:space="preserve">   Babeurre, lait et crème caillés, képhir et autres laits et crèmes fermentés ou acidifiés, même concentrés ou additionnés de sucre ou d'autres édulcorants ou aromatisés ou additionnés de fruits ou de cacao (à l'excl. des yoghourts)</v>
      </c>
      <c r="C3942">
        <v>13304654</v>
      </c>
      <c r="D3942">
        <v>17179</v>
      </c>
    </row>
    <row r="3943" spans="1:4" x14ac:dyDescent="0.25">
      <c r="A3943" t="str">
        <f>T("   040510")</f>
        <v xml:space="preserve">   040510</v>
      </c>
      <c r="B3943" t="str">
        <f>T("   Beurre (sauf beurre déshydraté et ghee)")</f>
        <v xml:space="preserve">   Beurre (sauf beurre déshydraté et ghee)</v>
      </c>
      <c r="C3943">
        <v>250852058</v>
      </c>
      <c r="D3943">
        <v>235297</v>
      </c>
    </row>
    <row r="3944" spans="1:4" x14ac:dyDescent="0.25">
      <c r="A3944" t="str">
        <f>T("   040520")</f>
        <v xml:space="preserve">   040520</v>
      </c>
      <c r="B3944" t="str">
        <f>T("   Pâtes à tartiner laitières d'une teneur en matières grasses laitières &gt;= 39% mais &lt; 80% en poids")</f>
        <v xml:space="preserve">   Pâtes à tartiner laitières d'une teneur en matières grasses laitières &gt;= 39% mais &lt; 80% en poids</v>
      </c>
      <c r="C3944">
        <v>1051728</v>
      </c>
      <c r="D3944">
        <v>792</v>
      </c>
    </row>
    <row r="3945" spans="1:4" x14ac:dyDescent="0.25">
      <c r="A3945" t="str">
        <f>T("   040590")</f>
        <v xml:space="preserve">   040590</v>
      </c>
      <c r="B3945" t="str">
        <f>T("   Matières grasses provenant du lait ainsi que beurre déshydraté et ghee (à l'excl. du beurre naturel, du beurre recombiné et du beurre de lactosérum)")</f>
        <v xml:space="preserve">   Matières grasses provenant du lait ainsi que beurre déshydraté et ghee (à l'excl. du beurre naturel, du beurre recombiné et du beurre de lactosérum)</v>
      </c>
      <c r="C3945">
        <v>57757</v>
      </c>
      <c r="D3945">
        <v>243</v>
      </c>
    </row>
    <row r="3946" spans="1:4" x14ac:dyDescent="0.25">
      <c r="A3946" t="str">
        <f>T("   040610")</f>
        <v xml:space="preserve">   040610</v>
      </c>
      <c r="B3946" t="str">
        <f>T("   FROMAGES FRAIS [NON-AFFINÉS], Y.C. LE FROMAGE DE LACTOSÉRUM, ET CAILLEBOTTE [01/01/1988-31/12/1991: FROMAGES FRAIS [NON AFFINES], Y.C. LE FROMAGE DE LACTOSERUM, NON FERMENTES, ET CAILLEBOTTE]")</f>
        <v xml:space="preserve">   FROMAGES FRAIS [NON-AFFINÉS], Y.C. LE FROMAGE DE LACTOSÉRUM, ET CAILLEBOTTE [01/01/1988-31/12/1991: FROMAGES FRAIS [NON AFFINES], Y.C. LE FROMAGE DE LACTOSERUM, NON FERMENTES, ET CAILLEBOTTE]</v>
      </c>
      <c r="C3946">
        <v>8085559</v>
      </c>
      <c r="D3946">
        <v>5229</v>
      </c>
    </row>
    <row r="3947" spans="1:4" x14ac:dyDescent="0.25">
      <c r="A3947" t="str">
        <f>T("   040620")</f>
        <v xml:space="preserve">   040620</v>
      </c>
      <c r="B3947" t="str">
        <f>T("   Fromages râpés ou en poudre, de tous types")</f>
        <v xml:space="preserve">   Fromages râpés ou en poudre, de tous types</v>
      </c>
      <c r="C3947">
        <v>274847</v>
      </c>
      <c r="D3947">
        <v>554</v>
      </c>
    </row>
    <row r="3948" spans="1:4" x14ac:dyDescent="0.25">
      <c r="A3948" t="str">
        <f>T("   040630")</f>
        <v xml:space="preserve">   040630</v>
      </c>
      <c r="B3948" t="str">
        <f>T("   Fromages fondus (à l'excl. des fromages râpés ou en poudre)")</f>
        <v xml:space="preserve">   Fromages fondus (à l'excl. des fromages râpés ou en poudre)</v>
      </c>
      <c r="C3948">
        <v>63926582</v>
      </c>
      <c r="D3948">
        <v>69675</v>
      </c>
    </row>
    <row r="3949" spans="1:4" x14ac:dyDescent="0.25">
      <c r="A3949" t="str">
        <f>T("   040640")</f>
        <v xml:space="preserve">   040640</v>
      </c>
      <c r="B3949" t="str">
        <f>T("   FROMAGES À PÂTE PERSILLÉE ET AUTRES FROMAGES PRÉSENTANT DES MARBRURES OBTENUES EN UTILISANT DU 'PENICILLIUM ROQUEFORTI'")</f>
        <v xml:space="preserve">   FROMAGES À PÂTE PERSILLÉE ET AUTRES FROMAGES PRÉSENTANT DES MARBRURES OBTENUES EN UTILISANT DU 'PENICILLIUM ROQUEFORTI'</v>
      </c>
      <c r="C3949">
        <v>2631711</v>
      </c>
      <c r="D3949">
        <v>1950</v>
      </c>
    </row>
    <row r="3950" spans="1:4" x14ac:dyDescent="0.25">
      <c r="A3950" t="str">
        <f>T("   040690")</f>
        <v xml:space="preserve">   040690</v>
      </c>
      <c r="B3950" t="s">
        <v>17</v>
      </c>
      <c r="C3950">
        <v>165181765</v>
      </c>
      <c r="D3950">
        <v>220561.98</v>
      </c>
    </row>
    <row r="3951" spans="1:4" x14ac:dyDescent="0.25">
      <c r="A3951" t="str">
        <f>T("   040900")</f>
        <v xml:space="preserve">   040900</v>
      </c>
      <c r="B3951" t="str">
        <f>T("   Miel naturel")</f>
        <v xml:space="preserve">   Miel naturel</v>
      </c>
      <c r="C3951">
        <v>1550033</v>
      </c>
      <c r="D3951">
        <v>2039</v>
      </c>
    </row>
    <row r="3952" spans="1:4" x14ac:dyDescent="0.25">
      <c r="A3952" t="str">
        <f>T("   050400")</f>
        <v xml:space="preserve">   050400</v>
      </c>
      <c r="B3952" t="str">
        <f>T("   Boyaux, vessies et estomacs d'animaux (autres que ceux de poissons), entiers ou en morceaux, à l'état frais, réfrigéré, congelé, salé ou en saumure, séché ou fumé")</f>
        <v xml:space="preserve">   Boyaux, vessies et estomacs d'animaux (autres que ceux de poissons), entiers ou en morceaux, à l'état frais, réfrigéré, congelé, salé ou en saumure, séché ou fumé</v>
      </c>
      <c r="C3952">
        <v>961737713</v>
      </c>
      <c r="D3952">
        <v>984114</v>
      </c>
    </row>
    <row r="3953" spans="1:4" x14ac:dyDescent="0.25">
      <c r="A3953" t="str">
        <f>T("   051199")</f>
        <v xml:space="preserve">   051199</v>
      </c>
      <c r="B3953" t="str">
        <f>T("   Produits d'origine animale, n.d.a.; animaux morts, impropres à l'alimentation humaine (à l'excl. des poissons, des crustacés, des mollusques ou autres invertébrés aquatiques)")</f>
        <v xml:space="preserve">   Produits d'origine animale, n.d.a.; animaux morts, impropres à l'alimentation humaine (à l'excl. des poissons, des crustacés, des mollusques ou autres invertébrés aquatiques)</v>
      </c>
      <c r="C3953">
        <v>400000</v>
      </c>
      <c r="D3953">
        <v>487</v>
      </c>
    </row>
    <row r="3954" spans="1:4" x14ac:dyDescent="0.25">
      <c r="A3954" t="str">
        <f>T("   070110")</f>
        <v xml:space="preserve">   070110</v>
      </c>
      <c r="B3954" t="str">
        <f>T("   Pommes de terre de semence")</f>
        <v xml:space="preserve">   Pommes de terre de semence</v>
      </c>
      <c r="C3954">
        <v>3482144</v>
      </c>
      <c r="D3954">
        <v>21100</v>
      </c>
    </row>
    <row r="3955" spans="1:4" x14ac:dyDescent="0.25">
      <c r="A3955" t="str">
        <f>T("   070190")</f>
        <v xml:space="preserve">   070190</v>
      </c>
      <c r="B3955" t="str">
        <f>T("   Pommes de terre, à l'état frais ou réfrigéré (à l'excl. des pommes de terre de semence)")</f>
        <v xml:space="preserve">   Pommes de terre, à l'état frais ou réfrigéré (à l'excl. des pommes de terre de semence)</v>
      </c>
      <c r="C3955">
        <v>45102664</v>
      </c>
      <c r="D3955">
        <v>282298</v>
      </c>
    </row>
    <row r="3956" spans="1:4" x14ac:dyDescent="0.25">
      <c r="A3956" t="str">
        <f>T("   070200")</f>
        <v xml:space="preserve">   070200</v>
      </c>
      <c r="B3956" t="str">
        <f>T("   Tomates, à l'état frais ou réfrigéré")</f>
        <v xml:space="preserve">   Tomates, à l'état frais ou réfrigéré</v>
      </c>
      <c r="C3956">
        <v>64769</v>
      </c>
      <c r="D3956">
        <v>43</v>
      </c>
    </row>
    <row r="3957" spans="1:4" x14ac:dyDescent="0.25">
      <c r="A3957" t="str">
        <f>T("   070320")</f>
        <v xml:space="preserve">   070320</v>
      </c>
      <c r="B3957" t="str">
        <f>T("   Aulx, à l'état frais ou réfrigéré")</f>
        <v xml:space="preserve">   Aulx, à l'état frais ou réfrigéré</v>
      </c>
      <c r="C3957">
        <v>483442</v>
      </c>
      <c r="D3957">
        <v>207</v>
      </c>
    </row>
    <row r="3958" spans="1:4" x14ac:dyDescent="0.25">
      <c r="A3958" t="str">
        <f>T("   070490")</f>
        <v xml:space="preserve">   070490</v>
      </c>
      <c r="B3958" t="str">
        <f>T("   Choux, choux frisés, choux-raves et produits comestibles simil. du genre 'Brassica', à l'état frais ou réfrigéré (à l'excl. des choux-fleurs, des choux-fleurs brocolis et des choux de Bruxelles)")</f>
        <v xml:space="preserve">   Choux, choux frisés, choux-raves et produits comestibles simil. du genre 'Brassica', à l'état frais ou réfrigéré (à l'excl. des choux-fleurs, des choux-fleurs brocolis et des choux de Bruxelles)</v>
      </c>
      <c r="C3958">
        <v>3350997</v>
      </c>
      <c r="D3958">
        <v>1518</v>
      </c>
    </row>
    <row r="3959" spans="1:4" x14ac:dyDescent="0.25">
      <c r="A3959" t="str">
        <f>T("   070519")</f>
        <v xml:space="preserve">   070519</v>
      </c>
      <c r="B3959" t="str">
        <f>T("   Laitues 'Lactuca sativa', à l'état frais ou réfrigéré (à l'excl. des laitues pommées)")</f>
        <v xml:space="preserve">   Laitues 'Lactuca sativa', à l'état frais ou réfrigéré (à l'excl. des laitues pommées)</v>
      </c>
      <c r="C3959">
        <v>3389606</v>
      </c>
      <c r="D3959">
        <v>1347</v>
      </c>
    </row>
    <row r="3960" spans="1:4" x14ac:dyDescent="0.25">
      <c r="A3960" t="str">
        <f>T("   070690")</f>
        <v xml:space="preserve">   070690</v>
      </c>
      <c r="B3960" t="str">
        <f>T("   Betteraves à salade, salsifis, céleris-raves, radis et racines comestibles simil., à l'état frais ou réfrigéré (à l'excl. des carottes et des navets)")</f>
        <v xml:space="preserve">   Betteraves à salade, salsifis, céleris-raves, radis et racines comestibles simil., à l'état frais ou réfrigéré (à l'excl. des carottes et des navets)</v>
      </c>
      <c r="C3960">
        <v>1988216</v>
      </c>
      <c r="D3960">
        <v>1221</v>
      </c>
    </row>
    <row r="3961" spans="1:4" x14ac:dyDescent="0.25">
      <c r="A3961" t="str">
        <f>T("   070820")</f>
        <v xml:space="preserve">   070820</v>
      </c>
      <c r="B3961" t="str">
        <f>T("   Haricots 'Vigna spp., Phaseolus spp.', écossés ou non, à l'état frais ou réfrigéré")</f>
        <v xml:space="preserve">   Haricots 'Vigna spp., Phaseolus spp.', écossés ou non, à l'état frais ou réfrigéré</v>
      </c>
      <c r="C3961">
        <v>178421</v>
      </c>
      <c r="D3961">
        <v>399</v>
      </c>
    </row>
    <row r="3962" spans="1:4" x14ac:dyDescent="0.25">
      <c r="A3962" t="str">
        <f>T("   070951")</f>
        <v xml:space="preserve">   070951</v>
      </c>
      <c r="B3962" t="str">
        <f>T("   Champignons du genre 'Agaricus', à l'état frais ou réfrigéré")</f>
        <v xml:space="preserve">   Champignons du genre 'Agaricus', à l'état frais ou réfrigéré</v>
      </c>
      <c r="C3962">
        <v>1418842</v>
      </c>
      <c r="D3962">
        <v>2798</v>
      </c>
    </row>
    <row r="3963" spans="1:4" x14ac:dyDescent="0.25">
      <c r="A3963" t="str">
        <f>T("   070960")</f>
        <v xml:space="preserve">   070960</v>
      </c>
      <c r="B3963" t="str">
        <f>T("   Piments du genre 'Capsicum' ou du genre 'Pimenta', à l'état frais ou réfrigéré")</f>
        <v xml:space="preserve">   Piments du genre 'Capsicum' ou du genre 'Pimenta', à l'état frais ou réfrigéré</v>
      </c>
      <c r="C3963">
        <v>13422</v>
      </c>
      <c r="D3963">
        <v>82</v>
      </c>
    </row>
    <row r="3964" spans="1:4" x14ac:dyDescent="0.25">
      <c r="A3964" t="str">
        <f>T("   070990")</f>
        <v xml:space="preserve">   070990</v>
      </c>
      <c r="B3964" t="s">
        <v>19</v>
      </c>
      <c r="C3964">
        <v>1498796</v>
      </c>
      <c r="D3964">
        <v>1199</v>
      </c>
    </row>
    <row r="3965" spans="1:4" x14ac:dyDescent="0.25">
      <c r="A3965" t="str">
        <f>T("   071010")</f>
        <v xml:space="preserve">   071010</v>
      </c>
      <c r="B3965" t="str">
        <f>T("   Pommes de terre, non cuites ou cuites à l'eau ou à la vapeur, congelées")</f>
        <v xml:space="preserve">   Pommes de terre, non cuites ou cuites à l'eau ou à la vapeur, congelées</v>
      </c>
      <c r="C3965">
        <v>49216708</v>
      </c>
      <c r="D3965">
        <v>206760</v>
      </c>
    </row>
    <row r="3966" spans="1:4" x14ac:dyDescent="0.25">
      <c r="A3966" t="str">
        <f>T("   071080")</f>
        <v xml:space="preserve">   071080</v>
      </c>
      <c r="B3966" t="str">
        <f>T("   LÉGUMES, NON-CUITS OU CUITS À L'EAU OU À LA VAPEUR, CONGELÉS (À L'EXCL. DES POMMES DE TERRE, DES LÉGUMES À COSSE, DES ÉPINARDS, DES TÉTRAGONES, DES ARROCHES ET DU MAÏS DOUX)")</f>
        <v xml:space="preserve">   LÉGUMES, NON-CUITS OU CUITS À L'EAU OU À LA VAPEUR, CONGELÉS (À L'EXCL. DES POMMES DE TERRE, DES LÉGUMES À COSSE, DES ÉPINARDS, DES TÉTRAGONES, DES ARROCHES ET DU MAÏS DOUX)</v>
      </c>
      <c r="C3966">
        <v>11213059</v>
      </c>
      <c r="D3966">
        <v>40396</v>
      </c>
    </row>
    <row r="3967" spans="1:4" x14ac:dyDescent="0.25">
      <c r="A3967" t="str">
        <f>T("   071090")</f>
        <v xml:space="preserve">   071090</v>
      </c>
      <c r="B3967" t="str">
        <f>T("   Mélanges de légumes, non cuits ou cuits à l'eau ou à la vapeur, congelés")</f>
        <v xml:space="preserve">   Mélanges de légumes, non cuits ou cuits à l'eau ou à la vapeur, congelés</v>
      </c>
      <c r="C3967">
        <v>7372991</v>
      </c>
      <c r="D3967">
        <v>13492</v>
      </c>
    </row>
    <row r="3968" spans="1:4" x14ac:dyDescent="0.25">
      <c r="A3968" t="str">
        <f>T("   071120")</f>
        <v xml:space="preserve">   071120</v>
      </c>
      <c r="B3968" t="str">
        <f>T("   Olives, conservées provisoirement [p.ex. au moyen de gaz sulfureux ou dans de l'eau salée, soufrée ou additionnée d'autres substances servant à assurer provisoirement leur conservation], mais impropres à l'alimentation en l'état")</f>
        <v xml:space="preserve">   Olives, conservées provisoirement [p.ex. au moyen de gaz sulfureux ou dans de l'eau salée, soufrée ou additionnée d'autres substances servant à assurer provisoirement leur conservation], mais impropres à l'alimentation en l'état</v>
      </c>
      <c r="C3968">
        <v>1418185</v>
      </c>
      <c r="D3968">
        <v>420</v>
      </c>
    </row>
    <row r="3969" spans="1:4" x14ac:dyDescent="0.25">
      <c r="A3969" t="str">
        <f>T("   071190")</f>
        <v xml:space="preserve">   071190</v>
      </c>
      <c r="B3969" t="s">
        <v>20</v>
      </c>
      <c r="C3969">
        <v>3559895</v>
      </c>
      <c r="D3969">
        <v>23600</v>
      </c>
    </row>
    <row r="3970" spans="1:4" x14ac:dyDescent="0.25">
      <c r="A3970" t="str">
        <f>T("   080119")</f>
        <v xml:space="preserve">   080119</v>
      </c>
      <c r="B3970" t="str">
        <f>T("   Noix de coco, fraîches, même sans leur coques ou décortiquées")</f>
        <v xml:space="preserve">   Noix de coco, fraîches, même sans leur coques ou décortiquées</v>
      </c>
      <c r="C3970">
        <v>259760</v>
      </c>
      <c r="D3970">
        <v>570</v>
      </c>
    </row>
    <row r="3971" spans="1:4" x14ac:dyDescent="0.25">
      <c r="A3971" t="str">
        <f>T("   080410")</f>
        <v xml:space="preserve">   080410</v>
      </c>
      <c r="B3971" t="str">
        <f>T("   Dattes, fraîches ou sèches")</f>
        <v xml:space="preserve">   Dattes, fraîches ou sèches</v>
      </c>
      <c r="C3971">
        <v>4600226</v>
      </c>
      <c r="D3971">
        <v>6127</v>
      </c>
    </row>
    <row r="3972" spans="1:4" x14ac:dyDescent="0.25">
      <c r="A3972" t="str">
        <f>T("   080510")</f>
        <v xml:space="preserve">   080510</v>
      </c>
      <c r="B3972" t="str">
        <f>T("   Oranges, fraîches ou sèches")</f>
        <v xml:space="preserve">   Oranges, fraîches ou sèches</v>
      </c>
      <c r="C3972">
        <v>70944</v>
      </c>
      <c r="D3972">
        <v>325</v>
      </c>
    </row>
    <row r="3973" spans="1:4" x14ac:dyDescent="0.25">
      <c r="A3973" t="str">
        <f>T("   080520")</f>
        <v xml:space="preserve">   080520</v>
      </c>
      <c r="B3973" t="str">
        <f>T("   Mandarines, y.c. les tangerines et les satsumas; clémentines, wilkings et hybrides simil. d'agrumes, frais ou secs")</f>
        <v xml:space="preserve">   Mandarines, y.c. les tangerines et les satsumas; clémentines, wilkings et hybrides simil. d'agrumes, frais ou secs</v>
      </c>
      <c r="C3973">
        <v>2082192</v>
      </c>
      <c r="D3973">
        <v>2243</v>
      </c>
    </row>
    <row r="3974" spans="1:4" x14ac:dyDescent="0.25">
      <c r="A3974" t="str">
        <f>T("   080550")</f>
        <v xml:space="preserve">   080550</v>
      </c>
      <c r="B3974" t="s">
        <v>21</v>
      </c>
      <c r="C3974">
        <v>187678</v>
      </c>
      <c r="D3974">
        <v>644</v>
      </c>
    </row>
    <row r="3975" spans="1:4" x14ac:dyDescent="0.25">
      <c r="A3975" t="str">
        <f>T("   080610")</f>
        <v xml:space="preserve">   080610</v>
      </c>
      <c r="B3975" t="str">
        <f>T("   Raisins, frais")</f>
        <v xml:space="preserve">   Raisins, frais</v>
      </c>
      <c r="C3975">
        <v>28797296</v>
      </c>
      <c r="D3975">
        <v>65197</v>
      </c>
    </row>
    <row r="3976" spans="1:4" x14ac:dyDescent="0.25">
      <c r="A3976" t="str">
        <f>T("   080620")</f>
        <v xml:space="preserve">   080620</v>
      </c>
      <c r="B3976" t="str">
        <f>T("   Raisins, secs")</f>
        <v xml:space="preserve">   Raisins, secs</v>
      </c>
      <c r="C3976">
        <v>2871137</v>
      </c>
      <c r="D3976">
        <v>5265</v>
      </c>
    </row>
    <row r="3977" spans="1:4" x14ac:dyDescent="0.25">
      <c r="A3977" t="str">
        <f>T("   080719")</f>
        <v xml:space="preserve">   080719</v>
      </c>
      <c r="B3977" t="str">
        <f>T("   Melons, frais (à l'excl. des pastèques)")</f>
        <v xml:space="preserve">   Melons, frais (à l'excl. des pastèques)</v>
      </c>
      <c r="C3977">
        <v>12463</v>
      </c>
      <c r="D3977">
        <v>76</v>
      </c>
    </row>
    <row r="3978" spans="1:4" x14ac:dyDescent="0.25">
      <c r="A3978" t="str">
        <f>T("   080810")</f>
        <v xml:space="preserve">   080810</v>
      </c>
      <c r="B3978" t="str">
        <f>T("   Pommes, fraîches")</f>
        <v xml:space="preserve">   Pommes, fraîches</v>
      </c>
      <c r="C3978">
        <v>124406912</v>
      </c>
      <c r="D3978">
        <v>313150</v>
      </c>
    </row>
    <row r="3979" spans="1:4" x14ac:dyDescent="0.25">
      <c r="A3979" t="str">
        <f>T("   080920")</f>
        <v xml:space="preserve">   080920</v>
      </c>
      <c r="B3979" t="str">
        <f>T("   Cerises, fraîches")</f>
        <v xml:space="preserve">   Cerises, fraîches</v>
      </c>
      <c r="C3979">
        <v>73341</v>
      </c>
      <c r="D3979">
        <v>650</v>
      </c>
    </row>
    <row r="3980" spans="1:4" x14ac:dyDescent="0.25">
      <c r="A3980" t="str">
        <f>T("   081050")</f>
        <v xml:space="preserve">   081050</v>
      </c>
      <c r="B3980" t="str">
        <f>T("   Kiwis, frais")</f>
        <v xml:space="preserve">   Kiwis, frais</v>
      </c>
      <c r="C3980">
        <v>19023</v>
      </c>
      <c r="D3980">
        <v>15</v>
      </c>
    </row>
    <row r="3981" spans="1:4" x14ac:dyDescent="0.25">
      <c r="A3981" t="str">
        <f>T("   081090")</f>
        <v xml:space="preserve">   081090</v>
      </c>
      <c r="B3981" t="s">
        <v>22</v>
      </c>
      <c r="C3981">
        <v>2179426</v>
      </c>
      <c r="D3981">
        <v>2442</v>
      </c>
    </row>
    <row r="3982" spans="1:4" x14ac:dyDescent="0.25">
      <c r="A3982" t="str">
        <f>T("   081190")</f>
        <v xml:space="preserve">   081190</v>
      </c>
      <c r="B3982" t="s">
        <v>23</v>
      </c>
      <c r="C3982">
        <v>62126</v>
      </c>
      <c r="D3982">
        <v>293.85000000000002</v>
      </c>
    </row>
    <row r="3983" spans="1:4" x14ac:dyDescent="0.25">
      <c r="A3983" t="str">
        <f>T("   090111")</f>
        <v xml:space="preserve">   090111</v>
      </c>
      <c r="B3983" t="str">
        <f>T("   Café, non torréfié, non décaféiné")</f>
        <v xml:space="preserve">   Café, non torréfié, non décaféiné</v>
      </c>
      <c r="C3983">
        <v>1227957</v>
      </c>
      <c r="D3983">
        <v>295</v>
      </c>
    </row>
    <row r="3984" spans="1:4" x14ac:dyDescent="0.25">
      <c r="A3984" t="str">
        <f>T("   090112")</f>
        <v xml:space="preserve">   090112</v>
      </c>
      <c r="B3984" t="str">
        <f>T("   Café, non torréfié, décaféiné")</f>
        <v xml:space="preserve">   Café, non torréfié, décaféiné</v>
      </c>
      <c r="C3984">
        <v>1361773</v>
      </c>
      <c r="D3984">
        <v>2500</v>
      </c>
    </row>
    <row r="3985" spans="1:4" x14ac:dyDescent="0.25">
      <c r="A3985" t="str">
        <f>T("   090121")</f>
        <v xml:space="preserve">   090121</v>
      </c>
      <c r="B3985" t="str">
        <f>T("   Café, torréfié, non décaféiné")</f>
        <v xml:space="preserve">   Café, torréfié, non décaféiné</v>
      </c>
      <c r="C3985">
        <v>14335350</v>
      </c>
      <c r="D3985">
        <v>6611</v>
      </c>
    </row>
    <row r="3986" spans="1:4" x14ac:dyDescent="0.25">
      <c r="A3986" t="str">
        <f>T("   090122")</f>
        <v xml:space="preserve">   090122</v>
      </c>
      <c r="B3986" t="str">
        <f>T("   Café, torréfié, décaféiné")</f>
        <v xml:space="preserve">   Café, torréfié, décaféiné</v>
      </c>
      <c r="C3986">
        <v>1852431</v>
      </c>
      <c r="D3986">
        <v>1277</v>
      </c>
    </row>
    <row r="3987" spans="1:4" x14ac:dyDescent="0.25">
      <c r="A3987" t="str">
        <f>T("   090190")</f>
        <v xml:space="preserve">   090190</v>
      </c>
      <c r="B3987" t="str">
        <f>T("   Coques et pellicules de café; succédanés du café contenant du café, quelles que soient les proportions du mélange")</f>
        <v xml:space="preserve">   Coques et pellicules de café; succédanés du café contenant du café, quelles que soient les proportions du mélange</v>
      </c>
      <c r="C3987">
        <v>4899135</v>
      </c>
      <c r="D3987">
        <v>5129</v>
      </c>
    </row>
    <row r="3988" spans="1:4" x14ac:dyDescent="0.25">
      <c r="A3988" t="str">
        <f>T("   090210")</f>
        <v xml:space="preserve">   090210</v>
      </c>
      <c r="B3988" t="str">
        <f>T("   Thé vert [thé non fermenté], présenté en emballages immédiats d'un contenu &lt;= 3 kg")</f>
        <v xml:space="preserve">   Thé vert [thé non fermenté], présenté en emballages immédiats d'un contenu &lt;= 3 kg</v>
      </c>
      <c r="C3988">
        <v>14180208</v>
      </c>
      <c r="D3988">
        <v>8171</v>
      </c>
    </row>
    <row r="3989" spans="1:4" x14ac:dyDescent="0.25">
      <c r="A3989" t="str">
        <f>T("   090220")</f>
        <v xml:space="preserve">   090220</v>
      </c>
      <c r="B3989" t="str">
        <f>T("   Thé vert [thé non fermenté], présenté en emballages immédiats d'un contenu &gt; 3 kg")</f>
        <v xml:space="preserve">   Thé vert [thé non fermenté], présenté en emballages immédiats d'un contenu &gt; 3 kg</v>
      </c>
      <c r="C3989">
        <v>6328703</v>
      </c>
      <c r="D3989">
        <v>7318</v>
      </c>
    </row>
    <row r="3990" spans="1:4" x14ac:dyDescent="0.25">
      <c r="A3990" t="str">
        <f>T("   090230")</f>
        <v xml:space="preserve">   090230</v>
      </c>
      <c r="B3990" t="s">
        <v>24</v>
      </c>
      <c r="C3990">
        <v>28376744</v>
      </c>
      <c r="D3990">
        <v>14601</v>
      </c>
    </row>
    <row r="3991" spans="1:4" x14ac:dyDescent="0.25">
      <c r="A3991" t="str">
        <f>T("   090412")</f>
        <v xml:space="preserve">   090412</v>
      </c>
      <c r="B3991" t="str">
        <f>T("   Poivre du genre 'Piper', broyé ou pulvérisé")</f>
        <v xml:space="preserve">   Poivre du genre 'Piper', broyé ou pulvérisé</v>
      </c>
      <c r="C3991">
        <v>3012826</v>
      </c>
      <c r="D3991">
        <v>3245</v>
      </c>
    </row>
    <row r="3992" spans="1:4" x14ac:dyDescent="0.25">
      <c r="A3992" t="str">
        <f>T("   090420")</f>
        <v xml:space="preserve">   090420</v>
      </c>
      <c r="B3992" t="str">
        <f>T("   Piments du genre 'Capsicum' ou du genre 'Pimenta', séchés ou broyés ou pulvérisés")</f>
        <v xml:space="preserve">   Piments du genre 'Capsicum' ou du genre 'Pimenta', séchés ou broyés ou pulvérisés</v>
      </c>
      <c r="C3992">
        <v>1860303</v>
      </c>
      <c r="D3992">
        <v>2400</v>
      </c>
    </row>
    <row r="3993" spans="1:4" x14ac:dyDescent="0.25">
      <c r="A3993" t="str">
        <f>T("   090500")</f>
        <v xml:space="preserve">   090500</v>
      </c>
      <c r="B3993" t="str">
        <f>T("   Vanille")</f>
        <v xml:space="preserve">   Vanille</v>
      </c>
      <c r="C3993">
        <v>1838000</v>
      </c>
      <c r="D3993">
        <v>2208</v>
      </c>
    </row>
    <row r="3994" spans="1:4" x14ac:dyDescent="0.25">
      <c r="A3994" t="str">
        <f>T("   090910")</f>
        <v xml:space="preserve">   090910</v>
      </c>
      <c r="B3994" t="str">
        <f>T("   Graines d'anis ou de badiane")</f>
        <v xml:space="preserve">   Graines d'anis ou de badiane</v>
      </c>
      <c r="C3994">
        <v>10814157</v>
      </c>
      <c r="D3994">
        <v>1289</v>
      </c>
    </row>
    <row r="3995" spans="1:4" x14ac:dyDescent="0.25">
      <c r="A3995" t="str">
        <f>T("   091091")</f>
        <v xml:space="preserve">   091091</v>
      </c>
      <c r="B3995" t="str">
        <f>T("   Mélanges d'épices")</f>
        <v xml:space="preserve">   Mélanges d'épices</v>
      </c>
      <c r="C3995">
        <v>8368088</v>
      </c>
      <c r="D3995">
        <v>2406</v>
      </c>
    </row>
    <row r="3996" spans="1:4" x14ac:dyDescent="0.25">
      <c r="A3996" t="str">
        <f>T("   100110")</f>
        <v xml:space="preserve">   100110</v>
      </c>
      <c r="B3996" t="str">
        <f>T("   Froment [blé] dur")</f>
        <v xml:space="preserve">   Froment [blé] dur</v>
      </c>
      <c r="C3996">
        <v>5236028693</v>
      </c>
      <c r="D3996">
        <v>27562500</v>
      </c>
    </row>
    <row r="3997" spans="1:4" x14ac:dyDescent="0.25">
      <c r="A3997" t="str">
        <f>T("   100190")</f>
        <v xml:space="preserve">   100190</v>
      </c>
      <c r="B3997" t="str">
        <f>T("   Froment [blé] et méteil (à l'excl. du froment [blé] dur)")</f>
        <v xml:space="preserve">   Froment [blé] et méteil (à l'excl. du froment [blé] dur)</v>
      </c>
      <c r="C3997">
        <v>2039632808</v>
      </c>
      <c r="D3997">
        <v>11049000</v>
      </c>
    </row>
    <row r="3998" spans="1:4" x14ac:dyDescent="0.25">
      <c r="A3998" t="str">
        <f>T("   100200")</f>
        <v xml:space="preserve">   100200</v>
      </c>
      <c r="B3998" t="str">
        <f>T("   Seigle")</f>
        <v xml:space="preserve">   Seigle</v>
      </c>
      <c r="C3998">
        <v>26</v>
      </c>
      <c r="D3998">
        <v>1</v>
      </c>
    </row>
    <row r="3999" spans="1:4" x14ac:dyDescent="0.25">
      <c r="A3999" t="str">
        <f>T("   100610")</f>
        <v xml:space="preserve">   100610</v>
      </c>
      <c r="B3999" t="str">
        <f>T("   Riz en paille [riz paddy]")</f>
        <v xml:space="preserve">   Riz en paille [riz paddy]</v>
      </c>
      <c r="C3999">
        <v>625130</v>
      </c>
      <c r="D3999">
        <v>682</v>
      </c>
    </row>
    <row r="4000" spans="1:4" x14ac:dyDescent="0.25">
      <c r="A4000" t="str">
        <f>T("   100620")</f>
        <v xml:space="preserve">   100620</v>
      </c>
      <c r="B4000" t="str">
        <f>T("   Riz décortiqué [riz cargo ou riz brun]")</f>
        <v xml:space="preserve">   Riz décortiqué [riz cargo ou riz brun]</v>
      </c>
      <c r="C4000">
        <v>22207402.482000001</v>
      </c>
      <c r="D4000">
        <v>35552</v>
      </c>
    </row>
    <row r="4001" spans="1:4" x14ac:dyDescent="0.25">
      <c r="A4001" t="str">
        <f>T("   100630")</f>
        <v xml:space="preserve">   100630</v>
      </c>
      <c r="B4001" t="str">
        <f>T("   Riz semi-blanchi ou blanchi, même poli ou glacé")</f>
        <v xml:space="preserve">   Riz semi-blanchi ou blanchi, même poli ou glacé</v>
      </c>
      <c r="C4001">
        <v>393079407.741</v>
      </c>
      <c r="D4001">
        <v>1406978</v>
      </c>
    </row>
    <row r="4002" spans="1:4" x14ac:dyDescent="0.25">
      <c r="A4002" t="str">
        <f>T("   100890")</f>
        <v xml:space="preserve">   100890</v>
      </c>
      <c r="B4002" t="str">
        <f>T("   Céréales (à l'excl. du froment [blé], du méteil, du seigle, de l'orge, de l'avoine, du maïs, du riz, du sorgho à grains, du sarrasin, du millet et de l'alpiste)")</f>
        <v xml:space="preserve">   Céréales (à l'excl. du froment [blé], du méteil, du seigle, de l'orge, de l'avoine, du maïs, du riz, du sorgho à grains, du sarrasin, du millet et de l'alpiste)</v>
      </c>
      <c r="C4002">
        <v>1715336</v>
      </c>
      <c r="D4002">
        <v>908</v>
      </c>
    </row>
    <row r="4003" spans="1:4" x14ac:dyDescent="0.25">
      <c r="A4003" t="str">
        <f>T("   110100")</f>
        <v xml:space="preserve">   110100</v>
      </c>
      <c r="B4003" t="str">
        <f>T("   Farines de froment [blé] ou de méteil")</f>
        <v xml:space="preserve">   Farines de froment [blé] ou de méteil</v>
      </c>
      <c r="C4003">
        <v>12334978208.796</v>
      </c>
      <c r="D4003">
        <v>45510119</v>
      </c>
    </row>
    <row r="4004" spans="1:4" x14ac:dyDescent="0.25">
      <c r="A4004" t="str">
        <f>T("   110290")</f>
        <v xml:space="preserve">   110290</v>
      </c>
      <c r="B4004" t="str">
        <f>T("   FARINES DE CÉRÉALES (À L'EXCL. DES FARINES DE FROMENT [BLÉ], DE MÉTEIL, DE SEIGLE ET DE MAÏS)")</f>
        <v xml:space="preserve">   FARINES DE CÉRÉALES (À L'EXCL. DES FARINES DE FROMENT [BLÉ], DE MÉTEIL, DE SEIGLE ET DE MAÏS)</v>
      </c>
      <c r="C4004">
        <v>21261631</v>
      </c>
      <c r="D4004">
        <v>76403</v>
      </c>
    </row>
    <row r="4005" spans="1:4" x14ac:dyDescent="0.25">
      <c r="A4005" t="str">
        <f>T("   110311")</f>
        <v xml:space="preserve">   110311</v>
      </c>
      <c r="B4005" t="str">
        <f>T("   Gruaux et semoules de froment [blé]")</f>
        <v xml:space="preserve">   Gruaux et semoules de froment [blé]</v>
      </c>
      <c r="C4005">
        <v>3698475293</v>
      </c>
      <c r="D4005">
        <v>11621098</v>
      </c>
    </row>
    <row r="4006" spans="1:4" x14ac:dyDescent="0.25">
      <c r="A4006" t="str">
        <f>T("   110319")</f>
        <v xml:space="preserve">   110319</v>
      </c>
      <c r="B4006" t="str">
        <f>T("   Gruaux et semoules de céréales (à l'excl. des gruaux et semoules de froment [blé] et de maïs)")</f>
        <v xml:space="preserve">   Gruaux et semoules de céréales (à l'excl. des gruaux et semoules de froment [blé] et de maïs)</v>
      </c>
      <c r="C4006">
        <v>305021</v>
      </c>
      <c r="D4006">
        <v>90</v>
      </c>
    </row>
    <row r="4007" spans="1:4" x14ac:dyDescent="0.25">
      <c r="A4007" t="str">
        <f>T("   110412")</f>
        <v xml:space="preserve">   110412</v>
      </c>
      <c r="B4007" t="str">
        <f>T("   Grains d'avoine, aplatis ou en flocons")</f>
        <v xml:space="preserve">   Grains d'avoine, aplatis ou en flocons</v>
      </c>
      <c r="C4007">
        <v>3479082</v>
      </c>
      <c r="D4007">
        <v>6776</v>
      </c>
    </row>
    <row r="4008" spans="1:4" x14ac:dyDescent="0.25">
      <c r="A4008" t="str">
        <f>T("   110419")</f>
        <v xml:space="preserve">   110419</v>
      </c>
      <c r="B4008" t="str">
        <f>T("   GRAINS DE CÉRÉALES, APLATIS OU EN FLOCONS (À L'EXCL. DES GRAINS D'AVOINE)")</f>
        <v xml:space="preserve">   GRAINS DE CÉRÉALES, APLATIS OU EN FLOCONS (À L'EXCL. DES GRAINS D'AVOINE)</v>
      </c>
      <c r="C4008">
        <v>995794</v>
      </c>
      <c r="D4008">
        <v>1656</v>
      </c>
    </row>
    <row r="4009" spans="1:4" x14ac:dyDescent="0.25">
      <c r="A4009" t="str">
        <f>T("   110510")</f>
        <v xml:space="preserve">   110510</v>
      </c>
      <c r="B4009" t="str">
        <f>T("   Farine, semoule et poudre de pommes de terre")</f>
        <v xml:space="preserve">   Farine, semoule et poudre de pommes de terre</v>
      </c>
      <c r="C4009">
        <v>1971820</v>
      </c>
      <c r="D4009">
        <v>2638</v>
      </c>
    </row>
    <row r="4010" spans="1:4" x14ac:dyDescent="0.25">
      <c r="A4010" t="str">
        <f>T("   110520")</f>
        <v xml:space="preserve">   110520</v>
      </c>
      <c r="B4010" t="str">
        <f>T("   Flocons, granulés et agglomérés sous forme de pellets, de pommes de terre")</f>
        <v xml:space="preserve">   Flocons, granulés et agglomérés sous forme de pellets, de pommes de terre</v>
      </c>
      <c r="C4010">
        <v>55099</v>
      </c>
      <c r="D4010">
        <v>180</v>
      </c>
    </row>
    <row r="4011" spans="1:4" x14ac:dyDescent="0.25">
      <c r="A4011" t="str">
        <f>T("   110710")</f>
        <v xml:space="preserve">   110710</v>
      </c>
      <c r="B4011" t="str">
        <f>T("   MALT, NON-TORRÉFIÉ")</f>
        <v xml:space="preserve">   MALT, NON-TORRÉFIÉ</v>
      </c>
      <c r="C4011">
        <v>805681682</v>
      </c>
      <c r="D4011">
        <v>1843174</v>
      </c>
    </row>
    <row r="4012" spans="1:4" x14ac:dyDescent="0.25">
      <c r="A4012" t="str">
        <f>T("   110720")</f>
        <v xml:space="preserve">   110720</v>
      </c>
      <c r="B4012" t="str">
        <f>T("   Malt, torréfié")</f>
        <v xml:space="preserve">   Malt, torréfié</v>
      </c>
      <c r="C4012">
        <v>13665614</v>
      </c>
      <c r="D4012">
        <v>15120</v>
      </c>
    </row>
    <row r="4013" spans="1:4" x14ac:dyDescent="0.25">
      <c r="A4013" t="str">
        <f>T("   110819")</f>
        <v xml:space="preserve">   110819</v>
      </c>
      <c r="B4013" t="str">
        <f>T("   Amidons et fécules (à l'excl. des amidons et fécules de froment [blé], de maïs, de pommes de terre et de manioc)")</f>
        <v xml:space="preserve">   Amidons et fécules (à l'excl. des amidons et fécules de froment [blé], de maïs, de pommes de terre et de manioc)</v>
      </c>
      <c r="C4013">
        <v>1034114</v>
      </c>
      <c r="D4013">
        <v>879</v>
      </c>
    </row>
    <row r="4014" spans="1:4" x14ac:dyDescent="0.25">
      <c r="A4014" t="str">
        <f>T("   120720")</f>
        <v xml:space="preserve">   120720</v>
      </c>
      <c r="B4014" t="str">
        <f>T("   Graines de coton, même concassées")</f>
        <v xml:space="preserve">   Graines de coton, même concassées</v>
      </c>
      <c r="C4014">
        <v>535920</v>
      </c>
      <c r="D4014">
        <v>30</v>
      </c>
    </row>
    <row r="4015" spans="1:4" x14ac:dyDescent="0.25">
      <c r="A4015" t="str">
        <f>T("   120791")</f>
        <v xml:space="preserve">   120791</v>
      </c>
      <c r="B4015" t="str">
        <f>T("   Graines d'oeillette ou de pavot, même concassées")</f>
        <v xml:space="preserve">   Graines d'oeillette ou de pavot, même concassées</v>
      </c>
      <c r="C4015">
        <v>873391</v>
      </c>
      <c r="D4015">
        <v>378</v>
      </c>
    </row>
    <row r="4016" spans="1:4" x14ac:dyDescent="0.25">
      <c r="A4016" t="str">
        <f>T("   120799")</f>
        <v xml:space="preserve">   120799</v>
      </c>
      <c r="B4016" t="s">
        <v>27</v>
      </c>
      <c r="C4016">
        <v>1056095</v>
      </c>
      <c r="D4016">
        <v>149</v>
      </c>
    </row>
    <row r="4017" spans="1:4" x14ac:dyDescent="0.25">
      <c r="A4017" t="str">
        <f>T("   120991")</f>
        <v xml:space="preserve">   120991</v>
      </c>
      <c r="B4017" t="str">
        <f>T("   Graines de légumes, à ensemencer")</f>
        <v xml:space="preserve">   Graines de légumes, à ensemencer</v>
      </c>
      <c r="C4017">
        <v>1163673</v>
      </c>
      <c r="D4017">
        <v>104</v>
      </c>
    </row>
    <row r="4018" spans="1:4" x14ac:dyDescent="0.25">
      <c r="A4018" t="str">
        <f>T("   121020")</f>
        <v xml:space="preserve">   121020</v>
      </c>
      <c r="B4018" t="str">
        <f>T("   Cônes de houblon, broyés, moulus ou sous forme de pellets; lupuline")</f>
        <v xml:space="preserve">   Cônes de houblon, broyés, moulus ou sous forme de pellets; lupuline</v>
      </c>
      <c r="C4018">
        <v>56225611</v>
      </c>
      <c r="D4018">
        <v>2939</v>
      </c>
    </row>
    <row r="4019" spans="1:4" x14ac:dyDescent="0.25">
      <c r="A4019" t="str">
        <f>T("   121190")</f>
        <v xml:space="preserve">   121190</v>
      </c>
      <c r="B4019" t="s">
        <v>30</v>
      </c>
      <c r="C4019">
        <v>5255847</v>
      </c>
      <c r="D4019">
        <v>2085</v>
      </c>
    </row>
    <row r="4020" spans="1:4" x14ac:dyDescent="0.25">
      <c r="A4020" t="str">
        <f>T("   121220")</f>
        <v xml:space="preserve">   121220</v>
      </c>
      <c r="B4020" t="str">
        <f>T("   Algues, fraîches, réfrigérées, congelées ou séchées, même pulvérisées")</f>
        <v xml:space="preserve">   Algues, fraîches, réfrigérées, congelées ou séchées, même pulvérisées</v>
      </c>
      <c r="C4020">
        <v>244017</v>
      </c>
      <c r="D4020">
        <v>120</v>
      </c>
    </row>
    <row r="4021" spans="1:4" x14ac:dyDescent="0.25">
      <c r="A4021" t="str">
        <f>T("   121299")</f>
        <v xml:space="preserve">   121299</v>
      </c>
      <c r="B4021" t="str">
        <f>T("   NOYAUX ET AMANDES DE FRUITS ET AUTRES PRODUITS VÉGÉTAUX - Y.C. LES RACINES DE CHICORÉE NON-TORRÉFIÉES DE LA VARIÉTÉ 'CICHORIUM INTYBUS SATIVUM' -, SERVANT PRINCIPALEMENT À L'ALIMENTATION HUMAINE, N.D.A.")</f>
        <v xml:space="preserve">   NOYAUX ET AMANDES DE FRUITS ET AUTRES PRODUITS VÉGÉTAUX - Y.C. LES RACINES DE CHICORÉE NON-TORRÉFIÉES DE LA VARIÉTÉ 'CICHORIUM INTYBUS SATIVUM' -, SERVANT PRINCIPALEMENT À L'ALIMENTATION HUMAINE, N.D.A.</v>
      </c>
      <c r="C4021">
        <v>109546</v>
      </c>
      <c r="D4021">
        <v>29</v>
      </c>
    </row>
    <row r="4022" spans="1:4" x14ac:dyDescent="0.25">
      <c r="A4022" t="str">
        <f>T("   121490")</f>
        <v xml:space="preserve">   121490</v>
      </c>
      <c r="B4022" t="s">
        <v>31</v>
      </c>
      <c r="C4022">
        <v>145570</v>
      </c>
      <c r="D4022">
        <v>1000</v>
      </c>
    </row>
    <row r="4023" spans="1:4" x14ac:dyDescent="0.25">
      <c r="A4023" t="str">
        <f>T("   130213")</f>
        <v xml:space="preserve">   130213</v>
      </c>
      <c r="B4023" t="str">
        <f>T("   Extraits de houblon")</f>
        <v xml:space="preserve">   Extraits de houblon</v>
      </c>
      <c r="C4023">
        <v>99028968</v>
      </c>
      <c r="D4023">
        <v>5076</v>
      </c>
    </row>
    <row r="4024" spans="1:4" x14ac:dyDescent="0.25">
      <c r="A4024" t="str">
        <f>T("   140490")</f>
        <v xml:space="preserve">   140490</v>
      </c>
      <c r="B4024" t="str">
        <f>T("   Produits végétaux, n.d.a.")</f>
        <v xml:space="preserve">   Produits végétaux, n.d.a.</v>
      </c>
      <c r="C4024">
        <v>4027241</v>
      </c>
      <c r="D4024">
        <v>3599</v>
      </c>
    </row>
    <row r="4025" spans="1:4" x14ac:dyDescent="0.25">
      <c r="A4025" t="str">
        <f>T("   150410")</f>
        <v xml:space="preserve">   150410</v>
      </c>
      <c r="B4025" t="str">
        <f>T("   Huiles de foies de poissons et leurs fractions, même raffinées, mais non chimiquement modifiées")</f>
        <v xml:space="preserve">   Huiles de foies de poissons et leurs fractions, même raffinées, mais non chimiquement modifiées</v>
      </c>
      <c r="C4025">
        <v>1063888</v>
      </c>
      <c r="D4025">
        <v>129</v>
      </c>
    </row>
    <row r="4026" spans="1:4" x14ac:dyDescent="0.25">
      <c r="A4026" t="str">
        <f>T("   150790")</f>
        <v xml:space="preserve">   150790</v>
      </c>
      <c r="B4026" t="str">
        <f>T("   Huile de soja et ses fractions, même raffinées, mais non chimiquement modifiées (à l'excl. de l'huile de soja brute)")</f>
        <v xml:space="preserve">   Huile de soja et ses fractions, même raffinées, mais non chimiquement modifiées (à l'excl. de l'huile de soja brute)</v>
      </c>
      <c r="C4026">
        <v>220750</v>
      </c>
      <c r="D4026">
        <v>883</v>
      </c>
    </row>
    <row r="4027" spans="1:4" x14ac:dyDescent="0.25">
      <c r="A4027" t="str">
        <f>T("   150890")</f>
        <v xml:space="preserve">   150890</v>
      </c>
      <c r="B4027" t="str">
        <f>T("   Huile d'arachide et ses fractions, même raffinées, mais non chimiquement modifiées (à l'excl. de l'huile d'arachide brute)")</f>
        <v xml:space="preserve">   Huile d'arachide et ses fractions, même raffinées, mais non chimiquement modifiées (à l'excl. de l'huile d'arachide brute)</v>
      </c>
      <c r="C4027">
        <v>144605.894</v>
      </c>
      <c r="D4027">
        <v>366.27</v>
      </c>
    </row>
    <row r="4028" spans="1:4" x14ac:dyDescent="0.25">
      <c r="A4028" t="str">
        <f>T("   150910")</f>
        <v xml:space="preserve">   150910</v>
      </c>
      <c r="B4028" t="str">
        <f>T("   Huile d'olive vierge et ses fractions, obtenues, à partir des fruits de l'olivier, uniquement par des procédés mécaniques ou physiques, dans des conditions n'altérant pas l'huile")</f>
        <v xml:space="preserve">   Huile d'olive vierge et ses fractions, obtenues, à partir des fruits de l'olivier, uniquement par des procédés mécaniques ou physiques, dans des conditions n'altérant pas l'huile</v>
      </c>
      <c r="C4028">
        <v>7819974</v>
      </c>
      <c r="D4028">
        <v>6321</v>
      </c>
    </row>
    <row r="4029" spans="1:4" x14ac:dyDescent="0.25">
      <c r="A4029" t="str">
        <f>T("   150990")</f>
        <v xml:space="preserve">   150990</v>
      </c>
      <c r="B4029" t="str">
        <f>T("   Huile d'olive et ses fractions, traitées mais non chimiquement modifiées, obtenues, à partir des fruits de l'olivier, uniquement par des procédés mécaniques ou physiques, dans des conditions n'altérant pas l'huile")</f>
        <v xml:space="preserve">   Huile d'olive et ses fractions, traitées mais non chimiquement modifiées, obtenues, à partir des fruits de l'olivier, uniquement par des procédés mécaniques ou physiques, dans des conditions n'altérant pas l'huile</v>
      </c>
      <c r="C4029">
        <v>22627342</v>
      </c>
      <c r="D4029">
        <v>44162</v>
      </c>
    </row>
    <row r="4030" spans="1:4" x14ac:dyDescent="0.25">
      <c r="A4030" t="str">
        <f>T("   151190")</f>
        <v xml:space="preserve">   151190</v>
      </c>
      <c r="B4030" t="str">
        <f>T("   Huile de palme et ses fractions, même raffinées, mais non chimiquement modifiées (à l'excl. de l'huile de palme brute)")</f>
        <v xml:space="preserve">   Huile de palme et ses fractions, même raffinées, mais non chimiquement modifiées (à l'excl. de l'huile de palme brute)</v>
      </c>
      <c r="C4030">
        <v>705757180.99000001</v>
      </c>
      <c r="D4030">
        <v>1866553.41</v>
      </c>
    </row>
    <row r="4031" spans="1:4" x14ac:dyDescent="0.25">
      <c r="A4031" t="str">
        <f>T("   151219")</f>
        <v xml:space="preserve">   151219</v>
      </c>
      <c r="B4031" t="str">
        <f>T("   Huiles de tournesol ou de carthame et leurs fractions, même raffinées, mais non chimiquement modifiées (à l'excl. des huiles brutes)")</f>
        <v xml:space="preserve">   Huiles de tournesol ou de carthame et leurs fractions, même raffinées, mais non chimiquement modifiées (à l'excl. des huiles brutes)</v>
      </c>
      <c r="C4031">
        <v>1833500</v>
      </c>
      <c r="D4031">
        <v>7334</v>
      </c>
    </row>
    <row r="4032" spans="1:4" x14ac:dyDescent="0.25">
      <c r="A4032" t="str">
        <f>T("   151419")</f>
        <v xml:space="preserve">   151419</v>
      </c>
      <c r="B4032" t="s">
        <v>33</v>
      </c>
      <c r="C4032">
        <v>266000</v>
      </c>
      <c r="D4032">
        <v>1064</v>
      </c>
    </row>
    <row r="4033" spans="1:4" x14ac:dyDescent="0.25">
      <c r="A4033" t="str">
        <f>T("   151519")</f>
        <v xml:space="preserve">   151519</v>
      </c>
      <c r="B4033" t="str">
        <f>T("   Huile de lin et ses fractions, même raffinées, mais non chimiquement modifiées (à l'excl. de l'huile brute)")</f>
        <v xml:space="preserve">   Huile de lin et ses fractions, même raffinées, mais non chimiquement modifiées (à l'excl. de l'huile brute)</v>
      </c>
      <c r="C4033">
        <v>88000</v>
      </c>
      <c r="D4033">
        <v>352</v>
      </c>
    </row>
    <row r="4034" spans="1:4" x14ac:dyDescent="0.25">
      <c r="A4034" t="str">
        <f>T("   151529")</f>
        <v xml:space="preserve">   151529</v>
      </c>
      <c r="B4034" t="str">
        <f>T("   Huile de maïs et ses fractions, même raffinées, mais non chimiquement modifiées (à l'excl. de l'huile brute)")</f>
        <v xml:space="preserve">   Huile de maïs et ses fractions, même raffinées, mais non chimiquement modifiées (à l'excl. de l'huile brute)</v>
      </c>
      <c r="C4034">
        <v>55250</v>
      </c>
      <c r="D4034">
        <v>221</v>
      </c>
    </row>
    <row r="4035" spans="1:4" x14ac:dyDescent="0.25">
      <c r="A4035" t="str">
        <f>T("   151530")</f>
        <v xml:space="preserve">   151530</v>
      </c>
      <c r="B4035" t="str">
        <f>T("   Huile de ricin et ses fractions, même raffinées, mais non chimiquement modifiées")</f>
        <v xml:space="preserve">   Huile de ricin et ses fractions, même raffinées, mais non chimiquement modifiées</v>
      </c>
      <c r="C4035">
        <v>33250</v>
      </c>
      <c r="D4035">
        <v>133</v>
      </c>
    </row>
    <row r="4036" spans="1:4" x14ac:dyDescent="0.25">
      <c r="A4036" t="str">
        <f>T("   151590")</f>
        <v xml:space="preserve">   151590</v>
      </c>
      <c r="B4036" t="s">
        <v>34</v>
      </c>
      <c r="C4036">
        <v>783250</v>
      </c>
      <c r="D4036">
        <v>3133</v>
      </c>
    </row>
    <row r="4037" spans="1:4" x14ac:dyDescent="0.25">
      <c r="A4037" t="str">
        <f>T("   151620")</f>
        <v xml:space="preserve">   151620</v>
      </c>
      <c r="B4037" t="str">
        <f>T("   Graisses et huiles végétales et leurs fractions, partiellement ou totalement hydrogénées, interestérifiées, réestérifiées ou élaïdinisées, même raffinées, mais non autrement préparées")</f>
        <v xml:space="preserve">   Graisses et huiles végétales et leurs fractions, partiellement ou totalement hydrogénées, interestérifiées, réestérifiées ou élaïdinisées, même raffinées, mais non autrement préparées</v>
      </c>
      <c r="C4037">
        <v>88003107</v>
      </c>
      <c r="D4037">
        <v>306594</v>
      </c>
    </row>
    <row r="4038" spans="1:4" x14ac:dyDescent="0.25">
      <c r="A4038" t="str">
        <f>T("   151710")</f>
        <v xml:space="preserve">   151710</v>
      </c>
      <c r="B4038" t="str">
        <f>T("   Margarine (à l'excl. de la margarine liquide)")</f>
        <v xml:space="preserve">   Margarine (à l'excl. de la margarine liquide)</v>
      </c>
      <c r="C4038">
        <v>129064105</v>
      </c>
      <c r="D4038">
        <v>256459</v>
      </c>
    </row>
    <row r="4039" spans="1:4" x14ac:dyDescent="0.25">
      <c r="A4039" t="str">
        <f>T("   151790")</f>
        <v xml:space="preserve">   151790</v>
      </c>
      <c r="B4039" t="s">
        <v>35</v>
      </c>
      <c r="C4039">
        <v>10250737</v>
      </c>
      <c r="D4039">
        <v>16044</v>
      </c>
    </row>
    <row r="4040" spans="1:4" x14ac:dyDescent="0.25">
      <c r="A4040" t="str">
        <f>T("   160100")</f>
        <v xml:space="preserve">   160100</v>
      </c>
      <c r="B4040" t="str">
        <f>T("   Saucisses, saucissons et produits simil., de viande, d'abats ou de sang; préparations alimentaires à base de ces produits")</f>
        <v xml:space="preserve">   Saucisses, saucissons et produits simil., de viande, d'abats ou de sang; préparations alimentaires à base de ces produits</v>
      </c>
      <c r="C4040">
        <v>909371400</v>
      </c>
      <c r="D4040">
        <v>1221617.6000000001</v>
      </c>
    </row>
    <row r="4041" spans="1:4" x14ac:dyDescent="0.25">
      <c r="A4041" t="str">
        <f>T("   160220")</f>
        <v xml:space="preserve">   160220</v>
      </c>
      <c r="B4041" t="s">
        <v>36</v>
      </c>
      <c r="C4041">
        <v>345035</v>
      </c>
      <c r="D4041">
        <v>301</v>
      </c>
    </row>
    <row r="4042" spans="1:4" x14ac:dyDescent="0.25">
      <c r="A4042" t="str">
        <f>T("   160231")</f>
        <v xml:space="preserve">   160231</v>
      </c>
      <c r="B4042" t="s">
        <v>37</v>
      </c>
      <c r="C4042">
        <v>8495995</v>
      </c>
      <c r="D4042">
        <v>11858</v>
      </c>
    </row>
    <row r="4043" spans="1:4" x14ac:dyDescent="0.25">
      <c r="A4043" t="str">
        <f>T("   160232")</f>
        <v xml:space="preserve">   160232</v>
      </c>
      <c r="B4043" t="s">
        <v>38</v>
      </c>
      <c r="C4043">
        <v>134663766</v>
      </c>
      <c r="D4043">
        <v>175071</v>
      </c>
    </row>
    <row r="4044" spans="1:4" x14ac:dyDescent="0.25">
      <c r="A4044" t="str">
        <f>T("   160239")</f>
        <v xml:space="preserve">   160239</v>
      </c>
      <c r="B4044" t="s">
        <v>39</v>
      </c>
      <c r="C4044">
        <v>30961791</v>
      </c>
      <c r="D4044">
        <v>22492</v>
      </c>
    </row>
    <row r="4045" spans="1:4" x14ac:dyDescent="0.25">
      <c r="A4045" t="str">
        <f>T("   160241")</f>
        <v xml:space="preserve">   160241</v>
      </c>
      <c r="B4045" t="str">
        <f>T("   Préparations et conserves de jambons et de morceaux de jambons des animaux de l'espèce porcine")</f>
        <v xml:space="preserve">   Préparations et conserves de jambons et de morceaux de jambons des animaux de l'espèce porcine</v>
      </c>
      <c r="C4045">
        <v>80711857</v>
      </c>
      <c r="D4045">
        <v>104430</v>
      </c>
    </row>
    <row r="4046" spans="1:4" x14ac:dyDescent="0.25">
      <c r="A4046" t="str">
        <f>T("   160242")</f>
        <v xml:space="preserve">   160242</v>
      </c>
      <c r="B4046" t="str">
        <f>T("   Préparations et conserves d'épaules et de morceaux d'épaules des animaux de l'espèce porcine")</f>
        <v xml:space="preserve">   Préparations et conserves d'épaules et de morceaux d'épaules des animaux de l'espèce porcine</v>
      </c>
      <c r="C4046">
        <v>883578</v>
      </c>
      <c r="D4046">
        <v>1403</v>
      </c>
    </row>
    <row r="4047" spans="1:4" x14ac:dyDescent="0.25">
      <c r="A4047" t="str">
        <f>T("   160249")</f>
        <v xml:space="preserve">   160249</v>
      </c>
      <c r="B4047" t="s">
        <v>40</v>
      </c>
      <c r="C4047">
        <v>22780238</v>
      </c>
      <c r="D4047">
        <v>17103</v>
      </c>
    </row>
    <row r="4048" spans="1:4" x14ac:dyDescent="0.25">
      <c r="A4048" t="str">
        <f>T("   160250")</f>
        <v xml:space="preserve">   160250</v>
      </c>
      <c r="B4048" t="s">
        <v>41</v>
      </c>
      <c r="C4048">
        <v>55004410</v>
      </c>
      <c r="D4048">
        <v>73507</v>
      </c>
    </row>
    <row r="4049" spans="1:4" x14ac:dyDescent="0.25">
      <c r="A4049" t="str">
        <f>T("   160411")</f>
        <v xml:space="preserve">   160411</v>
      </c>
      <c r="B4049" t="str">
        <f>T("   Préparations et conserves de saumons entiers ou en morceaux (à l'excl. des préparations et conserves de saumons hachés)")</f>
        <v xml:space="preserve">   Préparations et conserves de saumons entiers ou en morceaux (à l'excl. des préparations et conserves de saumons hachés)</v>
      </c>
      <c r="C4049">
        <v>2829155</v>
      </c>
      <c r="D4049">
        <v>2087</v>
      </c>
    </row>
    <row r="4050" spans="1:4" x14ac:dyDescent="0.25">
      <c r="A4050" t="str">
        <f>T("   160413")</f>
        <v xml:space="preserve">   160413</v>
      </c>
      <c r="B4050" t="str">
        <f>T("   Préparations et conserves de sardines, sardinelles, sprats ou esprots, entiers ou en morceaux (à l'excl. des préparations et conserves de poissons hachés)")</f>
        <v xml:space="preserve">   Préparations et conserves de sardines, sardinelles, sprats ou esprots, entiers ou en morceaux (à l'excl. des préparations et conserves de poissons hachés)</v>
      </c>
      <c r="C4050">
        <v>29483729</v>
      </c>
      <c r="D4050">
        <v>31799</v>
      </c>
    </row>
    <row r="4051" spans="1:4" x14ac:dyDescent="0.25">
      <c r="A4051" t="str">
        <f>T("   160414")</f>
        <v xml:space="preserve">   160414</v>
      </c>
      <c r="B4051" t="str">
        <f>T("   Préparations et conserves de thons, de listaos et de bonites 'Sarda spp.', entiers ou en morceaux (à l'excl. des préparations et conserves de thons, de listaos et de bonites hachés)")</f>
        <v xml:space="preserve">   Préparations et conserves de thons, de listaos et de bonites 'Sarda spp.', entiers ou en morceaux (à l'excl. des préparations et conserves de thons, de listaos et de bonites hachés)</v>
      </c>
      <c r="C4051">
        <v>1047568</v>
      </c>
      <c r="D4051">
        <v>1825</v>
      </c>
    </row>
    <row r="4052" spans="1:4" x14ac:dyDescent="0.25">
      <c r="A4052" t="str">
        <f>T("   160419")</f>
        <v xml:space="preserve">   160419</v>
      </c>
      <c r="B4052" t="s">
        <v>43</v>
      </c>
      <c r="C4052">
        <v>4767374</v>
      </c>
      <c r="D4052">
        <v>4809</v>
      </c>
    </row>
    <row r="4053" spans="1:4" x14ac:dyDescent="0.25">
      <c r="A4053" t="str">
        <f>T("   160420")</f>
        <v xml:space="preserve">   160420</v>
      </c>
      <c r="B4053" t="str">
        <f>T("   Préparations et conserves de poissons (à l'excl. des préparations et conserves de poissons entiers ou en morceaux)")</f>
        <v xml:space="preserve">   Préparations et conserves de poissons (à l'excl. des préparations et conserves de poissons entiers ou en morceaux)</v>
      </c>
      <c r="C4053">
        <v>23850051</v>
      </c>
      <c r="D4053">
        <v>16257</v>
      </c>
    </row>
    <row r="4054" spans="1:4" x14ac:dyDescent="0.25">
      <c r="A4054" t="str">
        <f>T("   160590")</f>
        <v xml:space="preserve">   160590</v>
      </c>
      <c r="B4054" t="str">
        <f>T("   Mollusques et autres invertébrés aquatiques, préparés ou conservés")</f>
        <v xml:space="preserve">   Mollusques et autres invertébrés aquatiques, préparés ou conservés</v>
      </c>
      <c r="C4054">
        <v>43949</v>
      </c>
      <c r="D4054">
        <v>65</v>
      </c>
    </row>
    <row r="4055" spans="1:4" x14ac:dyDescent="0.25">
      <c r="A4055" t="str">
        <f>T("   170111")</f>
        <v xml:space="preserve">   170111</v>
      </c>
      <c r="B4055" t="str">
        <f>T("   Sucres de canne, bruts, sans addition d'aromatisants ou de colorants")</f>
        <v xml:space="preserve">   Sucres de canne, bruts, sans addition d'aromatisants ou de colorants</v>
      </c>
      <c r="C4055">
        <v>3401809</v>
      </c>
      <c r="D4055">
        <v>3782</v>
      </c>
    </row>
    <row r="4056" spans="1:4" x14ac:dyDescent="0.25">
      <c r="A4056" t="str">
        <f>T("   170191")</f>
        <v xml:space="preserve">   170191</v>
      </c>
      <c r="B4056" t="str">
        <f>T("   Sucres de canne ou de betterave, à l'état solide, additionnés d'aromatisants ou de colorants")</f>
        <v xml:space="preserve">   Sucres de canne ou de betterave, à l'état solide, additionnés d'aromatisants ou de colorants</v>
      </c>
      <c r="C4056">
        <v>497390651.00099999</v>
      </c>
      <c r="D4056">
        <v>2547238</v>
      </c>
    </row>
    <row r="4057" spans="1:4" x14ac:dyDescent="0.25">
      <c r="A4057" t="str">
        <f>T("   170199")</f>
        <v xml:space="preserve">   170199</v>
      </c>
      <c r="B4057" t="str">
        <f>T("   Sucres de canne ou de betterave et saccharose chimiquement pur, à l'état solide (à l'excl. des sucres bruts et des sucres de canne ou de betterave additionnés d'aromatisants ou de colorants)")</f>
        <v xml:space="preserve">   Sucres de canne ou de betterave et saccharose chimiquement pur, à l'état solide (à l'excl. des sucres bruts et des sucres de canne ou de betterave additionnés d'aromatisants ou de colorants)</v>
      </c>
      <c r="C4057">
        <v>1525197507.1530001</v>
      </c>
      <c r="D4057">
        <v>4971703</v>
      </c>
    </row>
    <row r="4058" spans="1:4" x14ac:dyDescent="0.25">
      <c r="A4058" t="str">
        <f>T("   170219")</f>
        <v xml:space="preserve">   170219</v>
      </c>
      <c r="B4058" t="str">
        <f>T("   Lactose, à l'état solide, et sirop de lactose, sans addition d'aromatisants ou de colorants, contenant en poids &lt; 99% de lactose, exprimé en lactose anhydre calculé sur matière sèche")</f>
        <v xml:space="preserve">   Lactose, à l'état solide, et sirop de lactose, sans addition d'aromatisants ou de colorants, contenant en poids &lt; 99% de lactose, exprimé en lactose anhydre calculé sur matière sèche</v>
      </c>
      <c r="C4058">
        <v>589707</v>
      </c>
      <c r="D4058">
        <v>1151</v>
      </c>
    </row>
    <row r="4059" spans="1:4" x14ac:dyDescent="0.25">
      <c r="A4059" t="str">
        <f>T("   170230")</f>
        <v xml:space="preserve">   170230</v>
      </c>
      <c r="B4059" t="str">
        <f>T("   Glucose, à l'état solide, et sirop de glucose, sans addition d'aromatisants ou de colorants, ne contenant pas de fructose ou contenant en poids à l'état sec &lt; 20% de fructose")</f>
        <v xml:space="preserve">   Glucose, à l'état solide, et sirop de glucose, sans addition d'aromatisants ou de colorants, ne contenant pas de fructose ou contenant en poids à l'état sec &lt; 20% de fructose</v>
      </c>
      <c r="C4059">
        <v>17711</v>
      </c>
      <c r="D4059">
        <v>374</v>
      </c>
    </row>
    <row r="4060" spans="1:4" x14ac:dyDescent="0.25">
      <c r="A4060" t="str">
        <f>T("   170240")</f>
        <v xml:space="preserve">   170240</v>
      </c>
      <c r="B4060" t="str">
        <f>T("   Glucose, à l'état solide, et sirop de glucose, sans addition d'aromatisants ou de colorants, contenant en poids à l'état sec &gt;= 20% mais &lt; 50% de fructose (à l'excl. du sucre inverti [ou interverti])")</f>
        <v xml:space="preserve">   Glucose, à l'état solide, et sirop de glucose, sans addition d'aromatisants ou de colorants, contenant en poids à l'état sec &gt;= 20% mais &lt; 50% de fructose (à l'excl. du sucre inverti [ou interverti])</v>
      </c>
      <c r="C4060">
        <v>40670</v>
      </c>
      <c r="D4060">
        <v>347</v>
      </c>
    </row>
    <row r="4061" spans="1:4" x14ac:dyDescent="0.25">
      <c r="A4061" t="str">
        <f>T("   170260")</f>
        <v xml:space="preserve">   170260</v>
      </c>
      <c r="B4061" t="str">
        <f>T("   Fructose, à l'état solide, et sirop de fructose, sans addition d'aromatisants ou de colorants, contenant en poids à l'état sec &gt; 50% de fructose (à l'excl. du fructose chimiquement pur et du sucre inverti [ou interverti])")</f>
        <v xml:space="preserve">   Fructose, à l'état solide, et sirop de fructose, sans addition d'aromatisants ou de colorants, contenant en poids à l'état sec &gt; 50% de fructose (à l'excl. du fructose chimiquement pur et du sucre inverti [ou interverti])</v>
      </c>
      <c r="C4061">
        <v>243361</v>
      </c>
      <c r="D4061">
        <v>64</v>
      </c>
    </row>
    <row r="4062" spans="1:4" x14ac:dyDescent="0.25">
      <c r="A4062" t="str">
        <f>T("   170290")</f>
        <v xml:space="preserve">   170290</v>
      </c>
      <c r="B4062" t="s">
        <v>44</v>
      </c>
      <c r="C4062">
        <v>4747890</v>
      </c>
      <c r="D4062">
        <v>3462</v>
      </c>
    </row>
    <row r="4063" spans="1:4" x14ac:dyDescent="0.25">
      <c r="A4063" t="str">
        <f>T("   170410")</f>
        <v xml:space="preserve">   170410</v>
      </c>
      <c r="B4063" t="str">
        <f>T("   Gommes à mâcher [chewing-gum], même enrobées de sucre")</f>
        <v xml:space="preserve">   Gommes à mâcher [chewing-gum], même enrobées de sucre</v>
      </c>
      <c r="C4063">
        <v>446053</v>
      </c>
      <c r="D4063">
        <v>718</v>
      </c>
    </row>
    <row r="4064" spans="1:4" x14ac:dyDescent="0.25">
      <c r="A4064" t="str">
        <f>T("   170490")</f>
        <v xml:space="preserve">   170490</v>
      </c>
      <c r="B4064" t="str">
        <f>T("   Sucreries sans cacao, y.c. le chocolat blanc (à l'excl. des gommes à mâcher)")</f>
        <v xml:space="preserve">   Sucreries sans cacao, y.c. le chocolat blanc (à l'excl. des gommes à mâcher)</v>
      </c>
      <c r="C4064">
        <v>76494947</v>
      </c>
      <c r="D4064">
        <v>74390</v>
      </c>
    </row>
    <row r="4065" spans="1:4" x14ac:dyDescent="0.25">
      <c r="A4065" t="str">
        <f>T("   180200")</f>
        <v xml:space="preserve">   180200</v>
      </c>
      <c r="B4065" t="str">
        <f>T("   Coques, pellicules [pelures] et autres déchets de cacao")</f>
        <v xml:space="preserve">   Coques, pellicules [pelures] et autres déchets de cacao</v>
      </c>
      <c r="C4065">
        <v>1630717</v>
      </c>
      <c r="D4065">
        <v>182</v>
      </c>
    </row>
    <row r="4066" spans="1:4" x14ac:dyDescent="0.25">
      <c r="A4066" t="str">
        <f>T("   180500")</f>
        <v xml:space="preserve">   180500</v>
      </c>
      <c r="B4066" t="str">
        <f>T("   Poudre de cacao, sans addition de sucre ou d'autres édulcorants")</f>
        <v xml:space="preserve">   Poudre de cacao, sans addition de sucre ou d'autres édulcorants</v>
      </c>
      <c r="C4066">
        <v>10776766</v>
      </c>
      <c r="D4066">
        <v>17342</v>
      </c>
    </row>
    <row r="4067" spans="1:4" x14ac:dyDescent="0.25">
      <c r="A4067" t="str">
        <f>T("   180610")</f>
        <v xml:space="preserve">   180610</v>
      </c>
      <c r="B4067" t="str">
        <f>T("   Poudre de cacao, additionnée de sucre ou d'autres édulcorants")</f>
        <v xml:space="preserve">   Poudre de cacao, additionnée de sucre ou d'autres édulcorants</v>
      </c>
      <c r="C4067">
        <v>20674635</v>
      </c>
      <c r="D4067">
        <v>29796</v>
      </c>
    </row>
    <row r="4068" spans="1:4" x14ac:dyDescent="0.25">
      <c r="A4068" t="str">
        <f>T("   180620")</f>
        <v xml:space="preserve">   180620</v>
      </c>
      <c r="B4068" t="s">
        <v>45</v>
      </c>
      <c r="C4068">
        <v>18079046</v>
      </c>
      <c r="D4068">
        <v>8741</v>
      </c>
    </row>
    <row r="4069" spans="1:4" x14ac:dyDescent="0.25">
      <c r="A4069" t="str">
        <f>T("   180631")</f>
        <v xml:space="preserve">   180631</v>
      </c>
      <c r="B4069" t="str">
        <f>T("   Chocolat et autres préparations alimentaires contenant du cacao, présentés en tablettes, barres ou bâtons, d'un poids &lt;= 2 kg, fourrés")</f>
        <v xml:space="preserve">   Chocolat et autres préparations alimentaires contenant du cacao, présentés en tablettes, barres ou bâtons, d'un poids &lt;= 2 kg, fourrés</v>
      </c>
      <c r="C4069">
        <v>84220676</v>
      </c>
      <c r="D4069">
        <v>51700</v>
      </c>
    </row>
    <row r="4070" spans="1:4" x14ac:dyDescent="0.25">
      <c r="A4070" t="str">
        <f>T("   180632")</f>
        <v xml:space="preserve">   180632</v>
      </c>
      <c r="B4070" t="str">
        <f>T("   CHOCOLAT ET AUTRES PRÉPARATIONS ALIMENTAIRES CONTENANT DU CACAO, PRÉSENTÉS EN TABLETTES, BARRES OU BÂTONS, D'UN POIDS &lt;= 2 KG, NON-FOURRÉS")</f>
        <v xml:space="preserve">   CHOCOLAT ET AUTRES PRÉPARATIONS ALIMENTAIRES CONTENANT DU CACAO, PRÉSENTÉS EN TABLETTES, BARRES OU BÂTONS, D'UN POIDS &lt;= 2 KG, NON-FOURRÉS</v>
      </c>
      <c r="C4070">
        <v>22309897</v>
      </c>
      <c r="D4070">
        <v>17880</v>
      </c>
    </row>
    <row r="4071" spans="1:4" x14ac:dyDescent="0.25">
      <c r="A4071" t="str">
        <f>T("   180690")</f>
        <v xml:space="preserve">   180690</v>
      </c>
      <c r="B4071" t="str">
        <f>T("   Chocolat et autres préparations alimentaires contenant du cacao, en récipients ou en emballages immédiats d'un contenu &lt;= 2 kg (à l'excl. de la poudre de cacao et des produits présentés en tablettes, barres ou bâtons)")</f>
        <v xml:space="preserve">   Chocolat et autres préparations alimentaires contenant du cacao, en récipients ou en emballages immédiats d'un contenu &lt;= 2 kg (à l'excl. de la poudre de cacao et des produits présentés en tablettes, barres ou bâtons)</v>
      </c>
      <c r="C4071">
        <v>16400097</v>
      </c>
      <c r="D4071">
        <v>16910</v>
      </c>
    </row>
    <row r="4072" spans="1:4" x14ac:dyDescent="0.25">
      <c r="A4072" t="str">
        <f>T("   190110")</f>
        <v xml:space="preserve">   190110</v>
      </c>
      <c r="B4072" t="s">
        <v>46</v>
      </c>
      <c r="C4072">
        <v>1142197116</v>
      </c>
      <c r="D4072">
        <v>367515.91</v>
      </c>
    </row>
    <row r="4073" spans="1:4" x14ac:dyDescent="0.25">
      <c r="A4073" t="str">
        <f>T("   190120")</f>
        <v xml:space="preserve">   190120</v>
      </c>
      <c r="B4073" t="s">
        <v>47</v>
      </c>
      <c r="C4073">
        <v>7227779</v>
      </c>
      <c r="D4073">
        <v>6686</v>
      </c>
    </row>
    <row r="4074" spans="1:4" x14ac:dyDescent="0.25">
      <c r="A4074" t="str">
        <f>T("   190190")</f>
        <v xml:space="preserve">   190190</v>
      </c>
      <c r="B4074" t="s">
        <v>48</v>
      </c>
      <c r="C4074">
        <v>105833830</v>
      </c>
      <c r="D4074">
        <v>74623</v>
      </c>
    </row>
    <row r="4075" spans="1:4" x14ac:dyDescent="0.25">
      <c r="A4075" t="str">
        <f>T("   190219")</f>
        <v xml:space="preserve">   190219</v>
      </c>
      <c r="B4075" t="str">
        <f>T("   PÂTES ALIMENTAIRES NON-CUITES NI FARCIES NI AUTREMENT PRÉPARÉES, NE CONTENANT PAS D'OEUFS")</f>
        <v xml:space="preserve">   PÂTES ALIMENTAIRES NON-CUITES NI FARCIES NI AUTREMENT PRÉPARÉES, NE CONTENANT PAS D'OEUFS</v>
      </c>
      <c r="C4075">
        <v>44172891</v>
      </c>
      <c r="D4075">
        <v>374412</v>
      </c>
    </row>
    <row r="4076" spans="1:4" x14ac:dyDescent="0.25">
      <c r="A4076" t="str">
        <f>T("   190220")</f>
        <v xml:space="preserve">   190220</v>
      </c>
      <c r="B4076" t="str">
        <f>T("   Pâtes alimentaires, farcies de viande ou d'autres substances, même cuites ou autrement préparées")</f>
        <v xml:space="preserve">   Pâtes alimentaires, farcies de viande ou d'autres substances, même cuites ou autrement préparées</v>
      </c>
      <c r="C4076">
        <v>21647</v>
      </c>
      <c r="D4076">
        <v>144</v>
      </c>
    </row>
    <row r="4077" spans="1:4" x14ac:dyDescent="0.25">
      <c r="A4077" t="str">
        <f>T("   190230")</f>
        <v xml:space="preserve">   190230</v>
      </c>
      <c r="B4077" t="str">
        <f>T("   Pâtes alimentaires, cuites ou autrement préparées (à l'excl. des pâtes alimentaires farcies)")</f>
        <v xml:space="preserve">   Pâtes alimentaires, cuites ou autrement préparées (à l'excl. des pâtes alimentaires farcies)</v>
      </c>
      <c r="C4077">
        <v>185693940</v>
      </c>
      <c r="D4077">
        <v>507557</v>
      </c>
    </row>
    <row r="4078" spans="1:4" x14ac:dyDescent="0.25">
      <c r="A4078" t="str">
        <f>T("   190240")</f>
        <v xml:space="preserve">   190240</v>
      </c>
      <c r="B4078" t="str">
        <f>T("   Couscous, même préparé")</f>
        <v xml:space="preserve">   Couscous, même préparé</v>
      </c>
      <c r="C4078">
        <v>154527427</v>
      </c>
      <c r="D4078">
        <v>432385</v>
      </c>
    </row>
    <row r="4079" spans="1:4" x14ac:dyDescent="0.25">
      <c r="A4079" t="str">
        <f>T("   190410")</f>
        <v xml:space="preserve">   190410</v>
      </c>
      <c r="B4079" t="str">
        <f>T("   PRODUITS À BASE DE CÉRÉALES OBTENUS PAR SOUFFLAGE OU GRILLAGE [CORN FLAKES, P.EX.]")</f>
        <v xml:space="preserve">   PRODUITS À BASE DE CÉRÉALES OBTENUS PAR SOUFFLAGE OU GRILLAGE [CORN FLAKES, P.EX.]</v>
      </c>
      <c r="C4079">
        <v>30643172</v>
      </c>
      <c r="D4079">
        <v>37533</v>
      </c>
    </row>
    <row r="4080" spans="1:4" x14ac:dyDescent="0.25">
      <c r="A4080" t="str">
        <f>T("   190490")</f>
        <v xml:space="preserve">   190490</v>
      </c>
      <c r="B4080" t="s">
        <v>49</v>
      </c>
      <c r="C4080">
        <v>1565087</v>
      </c>
      <c r="D4080">
        <v>999</v>
      </c>
    </row>
    <row r="4081" spans="1:4" x14ac:dyDescent="0.25">
      <c r="A4081" t="str">
        <f>T("   190520")</f>
        <v xml:space="preserve">   190520</v>
      </c>
      <c r="B4081" t="str">
        <f>T("   Pain d'épices, même additionné de cacao")</f>
        <v xml:space="preserve">   Pain d'épices, même additionné de cacao</v>
      </c>
      <c r="C4081">
        <v>1463454</v>
      </c>
      <c r="D4081">
        <v>2856</v>
      </c>
    </row>
    <row r="4082" spans="1:4" x14ac:dyDescent="0.25">
      <c r="A4082" t="str">
        <f>T("   190531")</f>
        <v xml:space="preserve">   190531</v>
      </c>
      <c r="B4082" t="str">
        <f>T("   Biscuits additionnés d'édulcorants")</f>
        <v xml:space="preserve">   Biscuits additionnés d'édulcorants</v>
      </c>
      <c r="C4082">
        <v>31614540</v>
      </c>
      <c r="D4082">
        <v>42044.73</v>
      </c>
    </row>
    <row r="4083" spans="1:4" x14ac:dyDescent="0.25">
      <c r="A4083" t="str">
        <f>T("   190540")</f>
        <v xml:space="preserve">   190540</v>
      </c>
      <c r="B4083" t="str">
        <f>T("   Biscottes, pain grillé et produits simil. grillés")</f>
        <v xml:space="preserve">   Biscottes, pain grillé et produits simil. grillés</v>
      </c>
      <c r="C4083">
        <v>36651764</v>
      </c>
      <c r="D4083">
        <v>64340</v>
      </c>
    </row>
    <row r="4084" spans="1:4" x14ac:dyDescent="0.25">
      <c r="A4084" t="str">
        <f>T("   190590")</f>
        <v xml:space="preserve">   190590</v>
      </c>
      <c r="B4084" t="s">
        <v>50</v>
      </c>
      <c r="C4084">
        <v>560817837</v>
      </c>
      <c r="D4084">
        <v>736058</v>
      </c>
    </row>
    <row r="4085" spans="1:4" x14ac:dyDescent="0.25">
      <c r="A4085" t="str">
        <f>T("   200190")</f>
        <v xml:space="preserve">   200190</v>
      </c>
      <c r="B4085" t="str">
        <f>T("   Légumes, fruits et autres parties comestibles de plantes, préparés ou conservés au vinaigre ou à l'acide acétique (à l'excl. des concombres et des cornichons)")</f>
        <v xml:space="preserve">   Légumes, fruits et autres parties comestibles de plantes, préparés ou conservés au vinaigre ou à l'acide acétique (à l'excl. des concombres et des cornichons)</v>
      </c>
      <c r="C4085">
        <v>6328111</v>
      </c>
      <c r="D4085">
        <v>19484</v>
      </c>
    </row>
    <row r="4086" spans="1:4" x14ac:dyDescent="0.25">
      <c r="A4086" t="str">
        <f>T("   200210")</f>
        <v xml:space="preserve">   200210</v>
      </c>
      <c r="B4086" t="str">
        <f>T("   Tomates, entières ou en morceaux, préparées ou conservées autrement qu'au vinaigre ou à l'acide acétique")</f>
        <v xml:space="preserve">   Tomates, entières ou en morceaux, préparées ou conservées autrement qu'au vinaigre ou à l'acide acétique</v>
      </c>
      <c r="C4086">
        <v>49853</v>
      </c>
      <c r="D4086">
        <v>663</v>
      </c>
    </row>
    <row r="4087" spans="1:4" x14ac:dyDescent="0.25">
      <c r="A4087" t="str">
        <f>T("   200290")</f>
        <v xml:space="preserve">   200290</v>
      </c>
      <c r="B4087" t="str">
        <f>T("   Tomates, préparées ou conservées autrement qu'au vinaigre ou à l'acide acétique (à l'excl. des tomates entières ou en morceaux)")</f>
        <v xml:space="preserve">   Tomates, préparées ou conservées autrement qu'au vinaigre ou à l'acide acétique (à l'excl. des tomates entières ou en morceaux)</v>
      </c>
      <c r="C4087">
        <v>21473671</v>
      </c>
      <c r="D4087">
        <v>54990</v>
      </c>
    </row>
    <row r="4088" spans="1:4" x14ac:dyDescent="0.25">
      <c r="A4088" t="str">
        <f>T("   200310")</f>
        <v xml:space="preserve">   200310</v>
      </c>
      <c r="B4088" t="str">
        <f>T("   Champignons du genre 'Agaricus', préparés ou conservés autrement qu'au vinaigre ou à l'acide acétique")</f>
        <v xml:space="preserve">   Champignons du genre 'Agaricus', préparés ou conservés autrement qu'au vinaigre ou à l'acide acétique</v>
      </c>
      <c r="C4088">
        <v>11967992</v>
      </c>
      <c r="D4088">
        <v>22059</v>
      </c>
    </row>
    <row r="4089" spans="1:4" x14ac:dyDescent="0.25">
      <c r="A4089" t="str">
        <f>T("   200390")</f>
        <v xml:space="preserve">   200390</v>
      </c>
      <c r="B4089" t="str">
        <f>T("   Champignons, préparés ou conservés autrement qu'au vinaigre ou à l'acide acétique (à l'excl. des champignons du genre 'Agaricus')")</f>
        <v xml:space="preserve">   Champignons, préparés ou conservés autrement qu'au vinaigre ou à l'acide acétique (à l'excl. des champignons du genre 'Agaricus')</v>
      </c>
      <c r="C4089">
        <v>1674220</v>
      </c>
      <c r="D4089">
        <v>2730</v>
      </c>
    </row>
    <row r="4090" spans="1:4" x14ac:dyDescent="0.25">
      <c r="A4090" t="str">
        <f>T("   200410")</f>
        <v xml:space="preserve">   200410</v>
      </c>
      <c r="B4090" t="str">
        <f>T("   Pommes de terre, préparées ou conservées autrement qu'au vinaigre ou à l'acide acétique, congelées")</f>
        <v xml:space="preserve">   Pommes de terre, préparées ou conservées autrement qu'au vinaigre ou à l'acide acétique, congelées</v>
      </c>
      <c r="C4090">
        <v>68625952</v>
      </c>
      <c r="D4090">
        <v>309751</v>
      </c>
    </row>
    <row r="4091" spans="1:4" x14ac:dyDescent="0.25">
      <c r="A4091" t="str">
        <f>T("   200490")</f>
        <v xml:space="preserve">   200490</v>
      </c>
      <c r="B4091" t="str">
        <f>T("   LÉGUMES ET MÉLANGES DE LÉGUMES, PRÉPARÉS OU CONSERVÉS AUTREMENT QU'AU VINAIGRE OU À L'ACIDE ACÉTIQUE, CONGELÉS (À L'EXCL. DES CONFITS AU SUCRE AINSI QUE DES TOMATES, DES CHAMPIGNONS, DES TRUFFES ET DES POMMES DE TERRE, NON-MÉLANGÉS)")</f>
        <v xml:space="preserve">   LÉGUMES ET MÉLANGES DE LÉGUMES, PRÉPARÉS OU CONSERVÉS AUTREMENT QU'AU VINAIGRE OU À L'ACIDE ACÉTIQUE, CONGELÉS (À L'EXCL. DES CONFITS AU SUCRE AINSI QUE DES TOMATES, DES CHAMPIGNONS, DES TRUFFES ET DES POMMES DE TERRE, NON-MÉLANGÉS)</v>
      </c>
      <c r="C4091">
        <v>27353688</v>
      </c>
      <c r="D4091">
        <v>72777</v>
      </c>
    </row>
    <row r="4092" spans="1:4" x14ac:dyDescent="0.25">
      <c r="A4092" t="str">
        <f>T("   200510")</f>
        <v xml:space="preserve">   200510</v>
      </c>
      <c r="B4092" t="str">
        <f>T("   Légumes, présentés sous la forme de préparations finement homogénéisées, conditionnés pour la vente au détail comme aliments pour enfants ou pour usages diététiques, en récipients d'un contenu &lt;= 250 g")</f>
        <v xml:space="preserve">   Légumes, présentés sous la forme de préparations finement homogénéisées, conditionnés pour la vente au détail comme aliments pour enfants ou pour usages diététiques, en récipients d'un contenu &lt;= 250 g</v>
      </c>
      <c r="C4092">
        <v>1058674</v>
      </c>
      <c r="D4092">
        <v>1008</v>
      </c>
    </row>
    <row r="4093" spans="1:4" x14ac:dyDescent="0.25">
      <c r="A4093" t="str">
        <f>T("   200520")</f>
        <v xml:space="preserve">   200520</v>
      </c>
      <c r="B4093" t="str">
        <f>T("   POMMES DE TERRE, PRÉPARÉES OU CONSERVÉES AUTREMENT QU'AU VINAIGRE OU À L'ACIDE ACÉTIQUE, NON-CONGELÉES")</f>
        <v xml:space="preserve">   POMMES DE TERRE, PRÉPARÉES OU CONSERVÉES AUTREMENT QU'AU VINAIGRE OU À L'ACIDE ACÉTIQUE, NON-CONGELÉES</v>
      </c>
      <c r="C4093">
        <v>2110224</v>
      </c>
      <c r="D4093">
        <v>3728</v>
      </c>
    </row>
    <row r="4094" spans="1:4" x14ac:dyDescent="0.25">
      <c r="A4094" t="str">
        <f>T("   200540")</f>
        <v xml:space="preserve">   200540</v>
      </c>
      <c r="B4094" t="str">
        <f>T("   Pois [Pisum sativum], préparés ou conservés autrement qu'au vinaigre ou à l'acide acétique, non congelés")</f>
        <v xml:space="preserve">   Pois [Pisum sativum], préparés ou conservés autrement qu'au vinaigre ou à l'acide acétique, non congelés</v>
      </c>
      <c r="C4094">
        <v>29889166</v>
      </c>
      <c r="D4094">
        <v>134512</v>
      </c>
    </row>
    <row r="4095" spans="1:4" x14ac:dyDescent="0.25">
      <c r="A4095" t="str">
        <f>T("   200551")</f>
        <v xml:space="preserve">   200551</v>
      </c>
      <c r="B4095" t="str">
        <f>T("   Haricots [Vigna spp., Phaseolus spp.], en grains, préparés ou conservés autrement qu'au vinaigre ou à l'acide acétique, non congelés")</f>
        <v xml:space="preserve">   Haricots [Vigna spp., Phaseolus spp.], en grains, préparés ou conservés autrement qu'au vinaigre ou à l'acide acétique, non congelés</v>
      </c>
      <c r="C4095">
        <v>51217</v>
      </c>
      <c r="D4095">
        <v>170</v>
      </c>
    </row>
    <row r="4096" spans="1:4" x14ac:dyDescent="0.25">
      <c r="A4096" t="str">
        <f>T("   200559")</f>
        <v xml:space="preserve">   200559</v>
      </c>
      <c r="B4096" t="str">
        <f>T("   Haricots [Vigna spp., Phaseolus spp.], préparés ou conservés autrement qu'au vinaigre ou à l'acide acétique, non congelés (à l'excl. des haricots en grains)")</f>
        <v xml:space="preserve">   Haricots [Vigna spp., Phaseolus spp.], préparés ou conservés autrement qu'au vinaigre ou à l'acide acétique, non congelés (à l'excl. des haricots en grains)</v>
      </c>
      <c r="C4096">
        <v>14437825</v>
      </c>
      <c r="D4096">
        <v>17745</v>
      </c>
    </row>
    <row r="4097" spans="1:4" x14ac:dyDescent="0.25">
      <c r="A4097" t="str">
        <f>T("   200570")</f>
        <v xml:space="preserve">   200570</v>
      </c>
      <c r="B4097" t="str">
        <f>T("   OLIVES, PRÉPARÉES OU CONSERVÉES AUTREMENT QU'AU VINAIGRE OU À L'ACIDE ACÉTIQUE, NON-CONGELÉES")</f>
        <v xml:space="preserve">   OLIVES, PRÉPARÉES OU CONSERVÉES AUTREMENT QU'AU VINAIGRE OU À L'ACIDE ACÉTIQUE, NON-CONGELÉES</v>
      </c>
      <c r="C4097">
        <v>48787077</v>
      </c>
      <c r="D4097">
        <v>83014</v>
      </c>
    </row>
    <row r="4098" spans="1:4" x14ac:dyDescent="0.25">
      <c r="A4098" t="str">
        <f>T("   200580")</f>
        <v xml:space="preserve">   200580</v>
      </c>
      <c r="B4098" t="str">
        <f>T("   Maïs doux [Zea mays var. saccharata], préparé ou conservé autrement qu'au vinaigre ou à l'acide acétique, non congelé")</f>
        <v xml:space="preserve">   Maïs doux [Zea mays var. saccharata], préparé ou conservé autrement qu'au vinaigre ou à l'acide acétique, non congelé</v>
      </c>
      <c r="C4098">
        <v>2950620</v>
      </c>
      <c r="D4098">
        <v>7055</v>
      </c>
    </row>
    <row r="4099" spans="1:4" x14ac:dyDescent="0.25">
      <c r="A4099" t="str">
        <f>T("   200590")</f>
        <v xml:space="preserve">   200590</v>
      </c>
      <c r="B4099" t="s">
        <v>51</v>
      </c>
      <c r="C4099">
        <v>128424569</v>
      </c>
      <c r="D4099">
        <v>317487</v>
      </c>
    </row>
    <row r="4100" spans="1:4" x14ac:dyDescent="0.25">
      <c r="A4100" t="str">
        <f>T("   200710")</f>
        <v xml:space="preserve">   200710</v>
      </c>
      <c r="B4100" t="s">
        <v>52</v>
      </c>
      <c r="C4100">
        <v>13203836</v>
      </c>
      <c r="D4100">
        <v>11386</v>
      </c>
    </row>
    <row r="4101" spans="1:4" x14ac:dyDescent="0.25">
      <c r="A4101" t="str">
        <f>T("   200799")</f>
        <v xml:space="preserve">   200799</v>
      </c>
      <c r="B4101" t="s">
        <v>53</v>
      </c>
      <c r="C4101">
        <v>19838855</v>
      </c>
      <c r="D4101">
        <v>27973</v>
      </c>
    </row>
    <row r="4102" spans="1:4" x14ac:dyDescent="0.25">
      <c r="A4102" t="str">
        <f>T("   200819")</f>
        <v xml:space="preserve">   200819</v>
      </c>
      <c r="B4102" t="s">
        <v>54</v>
      </c>
      <c r="C4102">
        <v>362090</v>
      </c>
      <c r="D4102">
        <v>341</v>
      </c>
    </row>
    <row r="4103" spans="1:4" x14ac:dyDescent="0.25">
      <c r="A4103" t="str">
        <f>T("   200840")</f>
        <v xml:space="preserve">   200840</v>
      </c>
      <c r="B4103" t="str">
        <f>T("   Poires, préparées ou conservées, avec ou sans addition de sucre ou d'autres édulcorants ou d'alcool, n.d.a.")</f>
        <v xml:space="preserve">   Poires, préparées ou conservées, avec ou sans addition de sucre ou d'autres édulcorants ou d'alcool, n.d.a.</v>
      </c>
      <c r="C4103">
        <v>13638720</v>
      </c>
      <c r="D4103">
        <v>34758</v>
      </c>
    </row>
    <row r="4104" spans="1:4" x14ac:dyDescent="0.25">
      <c r="A4104" t="str">
        <f>T("   200860")</f>
        <v xml:space="preserve">   200860</v>
      </c>
      <c r="B4104" t="s">
        <v>55</v>
      </c>
      <c r="C4104">
        <v>6329903</v>
      </c>
      <c r="D4104">
        <v>6648</v>
      </c>
    </row>
    <row r="4105" spans="1:4" x14ac:dyDescent="0.25">
      <c r="A4105" t="str">
        <f>T("   200911")</f>
        <v xml:space="preserve">   200911</v>
      </c>
      <c r="B4105" t="str">
        <f>T("   JUS D'ORANGE, NON-FERMENTÉS, SANS ADDITION D'ALCOOL, AVEC OU SANS ADDITION DE SUCRE OU D'AUTRES ÉDULCORANTS, CONGELÉS")</f>
        <v xml:space="preserve">   JUS D'ORANGE, NON-FERMENTÉS, SANS ADDITION D'ALCOOL, AVEC OU SANS ADDITION DE SUCRE OU D'AUTRES ÉDULCORANTS, CONGELÉS</v>
      </c>
      <c r="C4105">
        <v>1069182</v>
      </c>
      <c r="D4105">
        <v>1901</v>
      </c>
    </row>
    <row r="4106" spans="1:4" x14ac:dyDescent="0.25">
      <c r="A4106" t="str">
        <f>T("   200919")</f>
        <v xml:space="preserve">   200919</v>
      </c>
      <c r="B4106" t="str">
        <f>T("   JUS D'ORANGE, NON-FERMENTÉS, SANS ADDITION D'ALCOOL, AVEC OU SANS ADDITION DE SUCRE OU D'AUTRES ÉDULCORANTS (À L'EXCL. DES JUS CONGELÉS ET DES JUS D'UNE VALEUR BRIX &lt;= 20 À 20°C)")</f>
        <v xml:space="preserve">   JUS D'ORANGE, NON-FERMENTÉS, SANS ADDITION D'ALCOOL, AVEC OU SANS ADDITION DE SUCRE OU D'AUTRES ÉDULCORANTS (À L'EXCL. DES JUS CONGELÉS ET DES JUS D'UNE VALEUR BRIX &lt;= 20 À 20°C)</v>
      </c>
      <c r="C4106">
        <v>5125167</v>
      </c>
      <c r="D4106">
        <v>11475</v>
      </c>
    </row>
    <row r="4107" spans="1:4" x14ac:dyDescent="0.25">
      <c r="A4107" t="str">
        <f>T("   200929")</f>
        <v xml:space="preserve">   200929</v>
      </c>
      <c r="B4107" t="str">
        <f>T("   JUS DE PAMPLEMOUSSE OU DE POMELO, NON-FERMENTÉS, SANS ADDITION D'ALCOOL, AVEC OU SANS ADDITION DE SUCRE OU D'AUTRES ÉDULCORANTS, D'UNE VALEUR BRIX &gt; 20 À 20°C")</f>
        <v xml:space="preserve">   JUS DE PAMPLEMOUSSE OU DE POMELO, NON-FERMENTÉS, SANS ADDITION D'ALCOOL, AVEC OU SANS ADDITION DE SUCRE OU D'AUTRES ÉDULCORANTS, D'UNE VALEUR BRIX &gt; 20 À 20°C</v>
      </c>
      <c r="C4107">
        <v>514929</v>
      </c>
      <c r="D4107">
        <v>1956</v>
      </c>
    </row>
    <row r="4108" spans="1:4" x14ac:dyDescent="0.25">
      <c r="A4108" t="str">
        <f>T("   200939")</f>
        <v xml:space="preserve">   200939</v>
      </c>
      <c r="B4108" t="str">
        <f>T("   JUS D'AGRUMES, NON-FERMENTÉS, SANS ADDITION D'ALCOOL, AVEC OU SANS ADDITION DE SUCRE OU D'AUTRES ÉDULCORANTS, D'UNE VALEUR BRIX &gt; 20 À 20°C (À L'EXCL. DES MÉLANGES AINSI QUE DES JUS D'ORANGE, DE PAMPLEMOUSSE OU DE POMELO)")</f>
        <v xml:space="preserve">   JUS D'AGRUMES, NON-FERMENTÉS, SANS ADDITION D'ALCOOL, AVEC OU SANS ADDITION DE SUCRE OU D'AUTRES ÉDULCORANTS, D'UNE VALEUR BRIX &gt; 20 À 20°C (À L'EXCL. DES MÉLANGES AINSI QUE DES JUS D'ORANGE, DE PAMPLEMOUSSE OU DE POMELO)</v>
      </c>
      <c r="C4108">
        <v>32142</v>
      </c>
      <c r="D4108">
        <v>17</v>
      </c>
    </row>
    <row r="4109" spans="1:4" x14ac:dyDescent="0.25">
      <c r="A4109" t="str">
        <f>T("   200949")</f>
        <v xml:space="preserve">   200949</v>
      </c>
      <c r="B4109" t="str">
        <f>T("   JUS D'ANANAS, NON-FERMENTÉS, SANS ADDITION D'ALCOOL, AVEC OU SANS ADDITION DE SUCRE OU D'AUTRES ÉDULCORANTS, D'UNE VALEUR BRIX &gt; 20 À 20°C")</f>
        <v xml:space="preserve">   JUS D'ANANAS, NON-FERMENTÉS, SANS ADDITION D'ALCOOL, AVEC OU SANS ADDITION DE SUCRE OU D'AUTRES ÉDULCORANTS, D'UNE VALEUR BRIX &gt; 20 À 20°C</v>
      </c>
      <c r="C4109">
        <v>6036183</v>
      </c>
      <c r="D4109">
        <v>10935</v>
      </c>
    </row>
    <row r="4110" spans="1:4" x14ac:dyDescent="0.25">
      <c r="A4110" t="str">
        <f>T("   200969")</f>
        <v xml:space="preserve">   200969</v>
      </c>
      <c r="B4110" t="str">
        <f>T("   JUS DE RAISIN - Y.C. LES MOÛTS DE RAISIN -, NON-FERMENTÉS, SANS ADDITION D'ALCOOL, AVEC OU SANS ADDITION DE SUCRE OU D'AUTRES ÉDULCORANTS, D'UNE VALEUR BRIX &gt; 30 À 20°C")</f>
        <v xml:space="preserve">   JUS DE RAISIN - Y.C. LES MOÛTS DE RAISIN -, NON-FERMENTÉS, SANS ADDITION D'ALCOOL, AVEC OU SANS ADDITION DE SUCRE OU D'AUTRES ÉDULCORANTS, D'UNE VALEUR BRIX &gt; 30 À 20°C</v>
      </c>
      <c r="C4110">
        <v>2257874</v>
      </c>
      <c r="D4110">
        <v>5712</v>
      </c>
    </row>
    <row r="4111" spans="1:4" x14ac:dyDescent="0.25">
      <c r="A4111" t="str">
        <f>T("   200979")</f>
        <v xml:space="preserve">   200979</v>
      </c>
      <c r="B4111" t="str">
        <f>T("   JUS DE POMME, NON-FERMENTÉS, SANS ADDITION D'ALCOOL, AVEC OU SANS ADDITION DE SUCRE OU D'AUTRES ÉDULCORANTS, D'UNE VALEUR BRIX &gt; 20 À 20°C")</f>
        <v xml:space="preserve">   JUS DE POMME, NON-FERMENTÉS, SANS ADDITION D'ALCOOL, AVEC OU SANS ADDITION DE SUCRE OU D'AUTRES ÉDULCORANTS, D'UNE VALEUR BRIX &gt; 20 À 20°C</v>
      </c>
      <c r="C4111">
        <v>4402890</v>
      </c>
      <c r="D4111">
        <v>10348</v>
      </c>
    </row>
    <row r="4112" spans="1:4" x14ac:dyDescent="0.25">
      <c r="A4112" t="str">
        <f>T("   200980")</f>
        <v xml:space="preserve">   200980</v>
      </c>
      <c r="B4112" t="str">
        <f>T("   JUS DE FRUITS OU DE LÉGUMES, NON-FERMENTÉS, SANS ADDITION D'ALCOOL, AVEC OU SANS ADDITION DE SUCRE OU D'AUTRES ÉDULCORANTS (À L'EXCL. DES MÉLANGES AINSI QUE DES JUS D'AGRUMES, D'ANANAS, DE TOMATE, DE RAISIN - Y.C. LES MOÛTS - ET DE POMME)")</f>
        <v xml:space="preserve">   JUS DE FRUITS OU DE LÉGUMES, NON-FERMENTÉS, SANS ADDITION D'ALCOOL, AVEC OU SANS ADDITION DE SUCRE OU D'AUTRES ÉDULCORANTS (À L'EXCL. DES MÉLANGES AINSI QUE DES JUS D'AGRUMES, D'ANANAS, DE TOMATE, DE RAISIN - Y.C. LES MOÛTS - ET DE POMME)</v>
      </c>
      <c r="C4112">
        <v>38196081</v>
      </c>
      <c r="D4112">
        <v>69747</v>
      </c>
    </row>
    <row r="4113" spans="1:4" x14ac:dyDescent="0.25">
      <c r="A4113" t="str">
        <f>T("   200990")</f>
        <v xml:space="preserve">   200990</v>
      </c>
      <c r="B4113" t="str">
        <f>T("   MÉLANGES DE JUS DE FRUITS - Y.C. LES MOÛTS DE RAISIN - ET DE JUS DE LÉGUMES, NON-FERMENTÉS, SANS ADDITION D'ALCOOL, AVEC OU SANS ADDITION DE SUCRE OU D'AUTRES ÉDULCORANTS")</f>
        <v xml:space="preserve">   MÉLANGES DE JUS DE FRUITS - Y.C. LES MOÛTS DE RAISIN - ET DE JUS DE LÉGUMES, NON-FERMENTÉS, SANS ADDITION D'ALCOOL, AVEC OU SANS ADDITION DE SUCRE OU D'AUTRES ÉDULCORANTS</v>
      </c>
      <c r="C4113">
        <v>21254774</v>
      </c>
      <c r="D4113">
        <v>49277</v>
      </c>
    </row>
    <row r="4114" spans="1:4" x14ac:dyDescent="0.25">
      <c r="A4114" t="str">
        <f>T("   210111")</f>
        <v xml:space="preserve">   210111</v>
      </c>
      <c r="B4114" t="str">
        <f>T("   Extraits, essences et concentrés de café")</f>
        <v xml:space="preserve">   Extraits, essences et concentrés de café</v>
      </c>
      <c r="C4114">
        <v>3784889</v>
      </c>
      <c r="D4114">
        <v>5951</v>
      </c>
    </row>
    <row r="4115" spans="1:4" x14ac:dyDescent="0.25">
      <c r="A4115" t="str">
        <f>T("   210130")</f>
        <v xml:space="preserve">   210130</v>
      </c>
      <c r="B4115" t="str">
        <f>T("   Chicorée torréfiée et autres succédanés torréfiés du café et leurs extraits, essences et concentrés")</f>
        <v xml:space="preserve">   Chicorée torréfiée et autres succédanés torréfiés du café et leurs extraits, essences et concentrés</v>
      </c>
      <c r="C4115">
        <v>8537172</v>
      </c>
      <c r="D4115">
        <v>24705</v>
      </c>
    </row>
    <row r="4116" spans="1:4" x14ac:dyDescent="0.25">
      <c r="A4116" t="str">
        <f>T("   210210")</f>
        <v xml:space="preserve">   210210</v>
      </c>
      <c r="B4116" t="str">
        <f>T("   Levures vivantes")</f>
        <v xml:space="preserve">   Levures vivantes</v>
      </c>
      <c r="C4116">
        <v>1247118</v>
      </c>
      <c r="D4116">
        <v>182</v>
      </c>
    </row>
    <row r="4117" spans="1:4" x14ac:dyDescent="0.25">
      <c r="A4117" t="str">
        <f>T("   210220")</f>
        <v xml:space="preserve">   210220</v>
      </c>
      <c r="B4117" t="str">
        <f>T("   Levures mortes; autres micro-organismes monocellulaires morts (à l'excl. des micro-organismes monocellulaires conditionnés comme médicaments)")</f>
        <v xml:space="preserve">   Levures mortes; autres micro-organismes monocellulaires morts (à l'excl. des micro-organismes monocellulaires conditionnés comme médicaments)</v>
      </c>
      <c r="C4117">
        <v>64730737</v>
      </c>
      <c r="D4117">
        <v>46421</v>
      </c>
    </row>
    <row r="4118" spans="1:4" x14ac:dyDescent="0.25">
      <c r="A4118" t="str">
        <f>T("   210230")</f>
        <v xml:space="preserve">   210230</v>
      </c>
      <c r="B4118" t="str">
        <f>T("   Poudres à lever préparées")</f>
        <v xml:space="preserve">   Poudres à lever préparées</v>
      </c>
      <c r="C4118">
        <v>112707888</v>
      </c>
      <c r="D4118">
        <v>159007</v>
      </c>
    </row>
    <row r="4119" spans="1:4" x14ac:dyDescent="0.25">
      <c r="A4119" t="str">
        <f>T("   210320")</f>
        <v xml:space="preserve">   210320</v>
      </c>
      <c r="B4119" t="str">
        <f>T("   Tomato ketchup et autres sauces tomates")</f>
        <v xml:space="preserve">   Tomato ketchup et autres sauces tomates</v>
      </c>
      <c r="C4119">
        <v>9047658</v>
      </c>
      <c r="D4119">
        <v>16068</v>
      </c>
    </row>
    <row r="4120" spans="1:4" x14ac:dyDescent="0.25">
      <c r="A4120" t="str">
        <f>T("   210330")</f>
        <v xml:space="preserve">   210330</v>
      </c>
      <c r="B4120" t="str">
        <f>T("   Farine de moutarde et moutarde préparée")</f>
        <v xml:space="preserve">   Farine de moutarde et moutarde préparée</v>
      </c>
      <c r="C4120">
        <v>17849261</v>
      </c>
      <c r="D4120">
        <v>40935</v>
      </c>
    </row>
    <row r="4121" spans="1:4" x14ac:dyDescent="0.25">
      <c r="A4121" t="str">
        <f>T("   210390")</f>
        <v xml:space="preserve">   210390</v>
      </c>
      <c r="B4121" t="str">
        <f>T("   Préparations pour sauces et sauces préparées; condiments et assaisonnements, composés (à l'excl. de la sauce de soja, du tomato ketchup et autres sauces tomates, de la farine de moutarde et de la moutarde préparée)")</f>
        <v xml:space="preserve">   Préparations pour sauces et sauces préparées; condiments et assaisonnements, composés (à l'excl. de la sauce de soja, du tomato ketchup et autres sauces tomates, de la farine de moutarde et de la moutarde préparée)</v>
      </c>
      <c r="C4121">
        <v>467856581</v>
      </c>
      <c r="D4121">
        <v>525135.52</v>
      </c>
    </row>
    <row r="4122" spans="1:4" x14ac:dyDescent="0.25">
      <c r="A4122" t="str">
        <f>T("   210410")</f>
        <v xml:space="preserve">   210410</v>
      </c>
      <c r="B4122" t="str">
        <f>T("   Préparations pour soupes, potages ou bouillons; soupes, potages ou bouillons préparés")</f>
        <v xml:space="preserve">   Préparations pour soupes, potages ou bouillons; soupes, potages ou bouillons préparés</v>
      </c>
      <c r="C4122">
        <v>2751753</v>
      </c>
      <c r="D4122">
        <v>3689</v>
      </c>
    </row>
    <row r="4123" spans="1:4" x14ac:dyDescent="0.25">
      <c r="A4123" t="str">
        <f>T("   210420")</f>
        <v xml:space="preserve">   210420</v>
      </c>
      <c r="B4123" t="s">
        <v>56</v>
      </c>
      <c r="C4123">
        <v>15301192</v>
      </c>
      <c r="D4123">
        <v>6049</v>
      </c>
    </row>
    <row r="4124" spans="1:4" x14ac:dyDescent="0.25">
      <c r="A4124" t="str">
        <f>T("   210500")</f>
        <v xml:space="preserve">   210500</v>
      </c>
      <c r="B4124" t="str">
        <f>T("   Glaces de consommation, même contenant du cacao")</f>
        <v xml:space="preserve">   Glaces de consommation, même contenant du cacao</v>
      </c>
      <c r="C4124">
        <v>81545955</v>
      </c>
      <c r="D4124">
        <v>106739</v>
      </c>
    </row>
    <row r="4125" spans="1:4" x14ac:dyDescent="0.25">
      <c r="A4125" t="str">
        <f>T("   210690")</f>
        <v xml:space="preserve">   210690</v>
      </c>
      <c r="B4125" t="str">
        <f>T("   Préparations alimentaires, n.d.a.")</f>
        <v xml:space="preserve">   Préparations alimentaires, n.d.a.</v>
      </c>
      <c r="C4125">
        <v>962014719</v>
      </c>
      <c r="D4125">
        <v>809319</v>
      </c>
    </row>
    <row r="4126" spans="1:4" x14ac:dyDescent="0.25">
      <c r="A4126" t="str">
        <f>T("   220110")</f>
        <v xml:space="preserve">   220110</v>
      </c>
      <c r="B4126" t="str">
        <f>T("   Eaux minérales et eaux gazéifiées, non additionnées de sucre ou d'autres édulcorants ni aromatisées")</f>
        <v xml:space="preserve">   Eaux minérales et eaux gazéifiées, non additionnées de sucre ou d'autres édulcorants ni aromatisées</v>
      </c>
      <c r="C4126">
        <v>47415088</v>
      </c>
      <c r="D4126">
        <v>213461</v>
      </c>
    </row>
    <row r="4127" spans="1:4" x14ac:dyDescent="0.25">
      <c r="A4127" t="str">
        <f>T("   220190")</f>
        <v xml:space="preserve">   220190</v>
      </c>
      <c r="B4127" t="str">
        <f>T("   Eaux, non additionnées de sucre ou d'autres édulcorants ni aromatisées (à l'excl. des eaux minérales, des eaux gazéifiées, de l'eau de mer ainsi que des eaux distillées, de conductibilité ou de même degré de pureté); glace et neige")</f>
        <v xml:space="preserve">   Eaux, non additionnées de sucre ou d'autres édulcorants ni aromatisées (à l'excl. des eaux minérales, des eaux gazéifiées, de l'eau de mer ainsi que des eaux distillées, de conductibilité ou de même degré de pureté); glace et neige</v>
      </c>
      <c r="C4127">
        <v>46375321</v>
      </c>
      <c r="D4127">
        <v>181416</v>
      </c>
    </row>
    <row r="4128" spans="1:4" x14ac:dyDescent="0.25">
      <c r="A4128" t="str">
        <f>T("   220210")</f>
        <v xml:space="preserve">   220210</v>
      </c>
      <c r="B4128" t="str">
        <f>T("   Eaux, y.c. les eaux minérales et les eaux gazéifiées, additionnées de sucre ou d'autres édulcorants ou aromatisées, directement consommables en l'état en tant que boissons")</f>
        <v xml:space="preserve">   Eaux, y.c. les eaux minérales et les eaux gazéifiées, additionnées de sucre ou d'autres édulcorants ou aromatisées, directement consommables en l'état en tant que boissons</v>
      </c>
      <c r="C4128">
        <v>49688114</v>
      </c>
      <c r="D4128">
        <v>145448</v>
      </c>
    </row>
    <row r="4129" spans="1:4" x14ac:dyDescent="0.25">
      <c r="A4129" t="str">
        <f>T("   220290")</f>
        <v xml:space="preserve">   220290</v>
      </c>
      <c r="B4129" t="str">
        <f>T("   BOISSONS NON-ALCOOLIQUES (À L'EXCL. DES EAUX, DES JUS DE FRUITS OU DE LÉGUMES AINSI QUE DU LAIT)")</f>
        <v xml:space="preserve">   BOISSONS NON-ALCOOLIQUES (À L'EXCL. DES EAUX, DES JUS DE FRUITS OU DE LÉGUMES AINSI QUE DU LAIT)</v>
      </c>
      <c r="C4129">
        <v>103051302</v>
      </c>
      <c r="D4129">
        <v>285032</v>
      </c>
    </row>
    <row r="4130" spans="1:4" x14ac:dyDescent="0.25">
      <c r="A4130" t="str">
        <f>T("   220300")</f>
        <v xml:space="preserve">   220300</v>
      </c>
      <c r="B4130" t="str">
        <f>T("   Bières de malt")</f>
        <v xml:space="preserve">   Bières de malt</v>
      </c>
      <c r="C4130">
        <v>127666307</v>
      </c>
      <c r="D4130">
        <v>356213</v>
      </c>
    </row>
    <row r="4131" spans="1:4" x14ac:dyDescent="0.25">
      <c r="A4131" t="str">
        <f>T("   220410")</f>
        <v xml:space="preserve">   220410</v>
      </c>
      <c r="B4131" t="str">
        <f>T("   Vins mousseux produits à partir de raisins frais")</f>
        <v xml:space="preserve">   Vins mousseux produits à partir de raisins frais</v>
      </c>
      <c r="C4131">
        <v>101331200</v>
      </c>
      <c r="D4131">
        <v>69351</v>
      </c>
    </row>
    <row r="4132" spans="1:4" x14ac:dyDescent="0.25">
      <c r="A4132" t="str">
        <f>T("   220421")</f>
        <v xml:space="preserve">   220421</v>
      </c>
      <c r="B4132" t="str">
        <f>T("   Vins de raisins frais, y.c. les vins enrichis en alcool (à l'excl. des vins mousseux); moûts de raisins dont la fermentation a été empêchée ou arrêtée par addition d'alcool, en récipients d'une contenance &lt;= 2 l")</f>
        <v xml:space="preserve">   Vins de raisins frais, y.c. les vins enrichis en alcool (à l'excl. des vins mousseux); moûts de raisins dont la fermentation a été empêchée ou arrêtée par addition d'alcool, en récipients d'une contenance &lt;= 2 l</v>
      </c>
      <c r="C4132">
        <v>473632986</v>
      </c>
      <c r="D4132">
        <v>680236</v>
      </c>
    </row>
    <row r="4133" spans="1:4" x14ac:dyDescent="0.25">
      <c r="A4133" t="str">
        <f>T("   220429")</f>
        <v xml:space="preserve">   220429</v>
      </c>
      <c r="B4133" t="str">
        <f>T("   VINS DE RAISINS FRAIS, Y.C. LES VINS ENRICHIS EN ALCOOL, ET MOÛTS DE RAISINS DONT LA FERMENTATION A ÉTÉ EMPÊCHÉE OU ARRÊTÉE PAR ADDITION D'ALCOOL, EN RÉCIPIENTS D'UNE CONTENANCE &gt; 2 L (À L'EXCL. DES VINS MOUSSEUX)")</f>
        <v xml:space="preserve">   VINS DE RAISINS FRAIS, Y.C. LES VINS ENRICHIS EN ALCOOL, ET MOÛTS DE RAISINS DONT LA FERMENTATION A ÉTÉ EMPÊCHÉE OU ARRÊTÉE PAR ADDITION D'ALCOOL, EN RÉCIPIENTS D'UNE CONTENANCE &gt; 2 L (À L'EXCL. DES VINS MOUSSEUX)</v>
      </c>
      <c r="C4133">
        <v>84664507</v>
      </c>
      <c r="D4133">
        <v>217763</v>
      </c>
    </row>
    <row r="4134" spans="1:4" x14ac:dyDescent="0.25">
      <c r="A4134" t="str">
        <f>T("   220510")</f>
        <v xml:space="preserve">   220510</v>
      </c>
      <c r="B4134" t="str">
        <f>T("   Vermouths et autres vins de raisins frais préparés à l'aide de plantes ou de substances aromatiques, en récipients d'une contenance &lt;= 2 l")</f>
        <v xml:space="preserve">   Vermouths et autres vins de raisins frais préparés à l'aide de plantes ou de substances aromatiques, en récipients d'une contenance &lt;= 2 l</v>
      </c>
      <c r="C4134">
        <v>28546042</v>
      </c>
      <c r="D4134">
        <v>62445</v>
      </c>
    </row>
    <row r="4135" spans="1:4" x14ac:dyDescent="0.25">
      <c r="A4135" t="str">
        <f>T("   220590")</f>
        <v xml:space="preserve">   220590</v>
      </c>
      <c r="B4135" t="str">
        <f>T("   Vermouths et autres vins de raisins frais préparés à l'aide de plantes ou de substances aromatiques, en récipients d'une contenance &gt; 2 l")</f>
        <v xml:space="preserve">   Vermouths et autres vins de raisins frais préparés à l'aide de plantes ou de substances aromatiques, en récipients d'une contenance &gt; 2 l</v>
      </c>
      <c r="C4135">
        <v>100000</v>
      </c>
      <c r="D4135">
        <v>50</v>
      </c>
    </row>
    <row r="4136" spans="1:4" x14ac:dyDescent="0.25">
      <c r="A4136" t="str">
        <f>T("   220600")</f>
        <v xml:space="preserve">   220600</v>
      </c>
      <c r="B4136" t="s">
        <v>57</v>
      </c>
      <c r="C4136">
        <v>62683549</v>
      </c>
      <c r="D4136">
        <v>272679</v>
      </c>
    </row>
    <row r="4137" spans="1:4" x14ac:dyDescent="0.25">
      <c r="A4137" t="str">
        <f>T("   220720")</f>
        <v xml:space="preserve">   220720</v>
      </c>
      <c r="B4137" t="str">
        <f>T("   Alcool éthylique et eaux-de-vie dénaturés de tous titres")</f>
        <v xml:space="preserve">   Alcool éthylique et eaux-de-vie dénaturés de tous titres</v>
      </c>
      <c r="C4137">
        <v>33454</v>
      </c>
      <c r="D4137">
        <v>6</v>
      </c>
    </row>
    <row r="4138" spans="1:4" x14ac:dyDescent="0.25">
      <c r="A4138" t="str">
        <f>T("   220820")</f>
        <v xml:space="preserve">   220820</v>
      </c>
      <c r="B4138" t="str">
        <f>T("   Eaux-de-vie de vin ou de marc de raisins")</f>
        <v xml:space="preserve">   Eaux-de-vie de vin ou de marc de raisins</v>
      </c>
      <c r="C4138">
        <v>4315816</v>
      </c>
      <c r="D4138">
        <v>1703</v>
      </c>
    </row>
    <row r="4139" spans="1:4" x14ac:dyDescent="0.25">
      <c r="A4139" t="str">
        <f>T("   220830")</f>
        <v xml:space="preserve">   220830</v>
      </c>
      <c r="B4139" t="str">
        <f>T("   Whiskies")</f>
        <v xml:space="preserve">   Whiskies</v>
      </c>
      <c r="C4139">
        <v>67415102</v>
      </c>
      <c r="D4139">
        <v>63425</v>
      </c>
    </row>
    <row r="4140" spans="1:4" x14ac:dyDescent="0.25">
      <c r="A4140" t="str">
        <f>T("   220840")</f>
        <v xml:space="preserve">   220840</v>
      </c>
      <c r="B4140" t="str">
        <f>T("   RHUM ET AUTRES EAUX-DE-VIE PROVENANT DE LA DISTILLATION, APRÈS FERMENTATION, DE PRODUITS DE CANNES À SUCRE")</f>
        <v xml:space="preserve">   RHUM ET AUTRES EAUX-DE-VIE PROVENANT DE LA DISTILLATION, APRÈS FERMENTATION, DE PRODUITS DE CANNES À SUCRE</v>
      </c>
      <c r="C4140">
        <v>13162153</v>
      </c>
      <c r="D4140">
        <v>27042</v>
      </c>
    </row>
    <row r="4141" spans="1:4" x14ac:dyDescent="0.25">
      <c r="A4141" t="str">
        <f>T("   220850")</f>
        <v xml:space="preserve">   220850</v>
      </c>
      <c r="B4141" t="str">
        <f>T("   Gin et genièvre")</f>
        <v xml:space="preserve">   Gin et genièvre</v>
      </c>
      <c r="C4141">
        <v>33132076</v>
      </c>
      <c r="D4141">
        <v>114140</v>
      </c>
    </row>
    <row r="4142" spans="1:4" x14ac:dyDescent="0.25">
      <c r="A4142" t="str">
        <f>T("   220860")</f>
        <v xml:space="preserve">   220860</v>
      </c>
      <c r="B4142" t="str">
        <f>T("   VODKA")</f>
        <v xml:space="preserve">   VODKA</v>
      </c>
      <c r="C4142">
        <v>2554106</v>
      </c>
      <c r="D4142">
        <v>2006</v>
      </c>
    </row>
    <row r="4143" spans="1:4" x14ac:dyDescent="0.25">
      <c r="A4143" t="str">
        <f>T("   220870")</f>
        <v xml:space="preserve">   220870</v>
      </c>
      <c r="B4143" t="str">
        <f>T("   LIQUEURS")</f>
        <v xml:space="preserve">   LIQUEURS</v>
      </c>
      <c r="C4143">
        <v>35173604</v>
      </c>
      <c r="D4143">
        <v>57273.8</v>
      </c>
    </row>
    <row r="4144" spans="1:4" x14ac:dyDescent="0.25">
      <c r="A4144" t="str">
        <f>T("   220890")</f>
        <v xml:space="preserve">   220890</v>
      </c>
      <c r="B4144" t="s">
        <v>58</v>
      </c>
      <c r="C4144">
        <v>86683143</v>
      </c>
      <c r="D4144">
        <v>215129</v>
      </c>
    </row>
    <row r="4145" spans="1:4" x14ac:dyDescent="0.25">
      <c r="A4145" t="str">
        <f>T("   220900")</f>
        <v xml:space="preserve">   220900</v>
      </c>
      <c r="B4145" t="str">
        <f>T("   Vinaigres comestibles et succédanés de vinaigre comestibles obtenus à partir d'acide acétique")</f>
        <v xml:space="preserve">   Vinaigres comestibles et succédanés de vinaigre comestibles obtenus à partir d'acide acétique</v>
      </c>
      <c r="C4145">
        <v>4154097</v>
      </c>
      <c r="D4145">
        <v>9983</v>
      </c>
    </row>
    <row r="4146" spans="1:4" x14ac:dyDescent="0.25">
      <c r="A4146" t="str">
        <f>T("   230240")</f>
        <v xml:space="preserve">   230240</v>
      </c>
      <c r="B4146" t="str">
        <f>T("   SONS, REMOULAGES ET AUTRES RÉSIDUS, MÊME AGGLOMÉRÉS SOUS FORME DE PELLETS, DU CRIBLAGE, DE LA MOUTURE OU D'AUTRES TRAITEMENTS DES CÉRÉALES (À L'EXCL. DU MAÏS OU DU FROMENT)")</f>
        <v xml:space="preserve">   SONS, REMOULAGES ET AUTRES RÉSIDUS, MÊME AGGLOMÉRÉS SOUS FORME DE PELLETS, DU CRIBLAGE, DE LA MOUTURE OU D'AUTRES TRAITEMENTS DES CÉRÉALES (À L'EXCL. DU MAÏS OU DU FROMENT)</v>
      </c>
      <c r="C4146">
        <v>1787281</v>
      </c>
      <c r="D4146">
        <v>8606</v>
      </c>
    </row>
    <row r="4147" spans="1:4" x14ac:dyDescent="0.25">
      <c r="A4147" t="str">
        <f>T("   230649")</f>
        <v xml:space="preserve">   230649</v>
      </c>
      <c r="B4147" t="s">
        <v>59</v>
      </c>
      <c r="C4147">
        <v>767172</v>
      </c>
      <c r="D4147">
        <v>4765</v>
      </c>
    </row>
    <row r="4148" spans="1:4" x14ac:dyDescent="0.25">
      <c r="A4148" t="str">
        <f>T("   230910")</f>
        <v xml:space="preserve">   230910</v>
      </c>
      <c r="B4148" t="str">
        <f>T("   Aliments pour chiens ou chats, conditionnés pour la vente au détail")</f>
        <v xml:space="preserve">   Aliments pour chiens ou chats, conditionnés pour la vente au détail</v>
      </c>
      <c r="C4148">
        <v>40823260</v>
      </c>
      <c r="D4148">
        <v>86903</v>
      </c>
    </row>
    <row r="4149" spans="1:4" x14ac:dyDescent="0.25">
      <c r="A4149" t="str">
        <f>T("   230990")</f>
        <v xml:space="preserve">   230990</v>
      </c>
      <c r="B4149" t="str">
        <f>T("   Préparations des types utilisés pour l'alimentation des animaux (à l'excl. des aliments pour chiens ou chats conditionnés pour la vente au détail)")</f>
        <v xml:space="preserve">   Préparations des types utilisés pour l'alimentation des animaux (à l'excl. des aliments pour chiens ou chats conditionnés pour la vente au détail)</v>
      </c>
      <c r="C4149">
        <v>177648433</v>
      </c>
      <c r="D4149">
        <v>285737</v>
      </c>
    </row>
    <row r="4150" spans="1:4" x14ac:dyDescent="0.25">
      <c r="A4150" t="str">
        <f>T("   240310")</f>
        <v xml:space="preserve">   240310</v>
      </c>
      <c r="B4150" t="str">
        <f>T("   Tabac à fumer, même contenant des succédanés de tabac en toute proportion")</f>
        <v xml:space="preserve">   Tabac à fumer, même contenant des succédanés de tabac en toute proportion</v>
      </c>
      <c r="C4150">
        <v>47035</v>
      </c>
      <c r="D4150">
        <v>207</v>
      </c>
    </row>
    <row r="4151" spans="1:4" x14ac:dyDescent="0.25">
      <c r="A4151" t="str">
        <f>T("   250100")</f>
        <v xml:space="preserve">   250100</v>
      </c>
      <c r="B4151" t="s">
        <v>60</v>
      </c>
      <c r="C4151">
        <v>2652256</v>
      </c>
      <c r="D4151">
        <v>3432</v>
      </c>
    </row>
    <row r="4152" spans="1:4" x14ac:dyDescent="0.25">
      <c r="A4152" t="str">
        <f>T("   250410")</f>
        <v xml:space="preserve">   250410</v>
      </c>
      <c r="B4152" t="str">
        <f>T("   Graphite naturel, en poudre ou en paillettes")</f>
        <v xml:space="preserve">   Graphite naturel, en poudre ou en paillettes</v>
      </c>
      <c r="C4152">
        <v>14184348</v>
      </c>
      <c r="D4152">
        <v>43800</v>
      </c>
    </row>
    <row r="4153" spans="1:4" x14ac:dyDescent="0.25">
      <c r="A4153" t="str">
        <f>T("   250510")</f>
        <v xml:space="preserve">   250510</v>
      </c>
      <c r="B4153" t="str">
        <f>T("   Sables siliceux et sables quartzeux, même colorés")</f>
        <v xml:space="preserve">   Sables siliceux et sables quartzeux, même colorés</v>
      </c>
      <c r="C4153">
        <v>11338925</v>
      </c>
      <c r="D4153">
        <v>27920</v>
      </c>
    </row>
    <row r="4154" spans="1:4" x14ac:dyDescent="0.25">
      <c r="A4154" t="str">
        <f>T("   250590")</f>
        <v xml:space="preserve">   250590</v>
      </c>
      <c r="B4154" t="str">
        <f>T("   Sables naturels de toute espèce, même colorés (à l'excl. des sables aurifères, platinifères, monazités, bitumineux, asphaltiques, siliceux ou quartzeux ainsi que des sables de zircon, de rutile ou d'ilménite)")</f>
        <v xml:space="preserve">   Sables naturels de toute espèce, même colorés (à l'excl. des sables aurifères, platinifères, monazités, bitumineux, asphaltiques, siliceux ou quartzeux ainsi que des sables de zircon, de rutile ou d'ilménite)</v>
      </c>
      <c r="C4154">
        <v>1899005</v>
      </c>
      <c r="D4154">
        <v>10800</v>
      </c>
    </row>
    <row r="4155" spans="1:4" x14ac:dyDescent="0.25">
      <c r="A4155" t="str">
        <f>T("   250810")</f>
        <v xml:space="preserve">   250810</v>
      </c>
      <c r="B4155" t="str">
        <f>T("   Bentonite")</f>
        <v xml:space="preserve">   Bentonite</v>
      </c>
      <c r="C4155">
        <v>1412282</v>
      </c>
      <c r="D4155">
        <v>160</v>
      </c>
    </row>
    <row r="4156" spans="1:4" x14ac:dyDescent="0.25">
      <c r="A4156" t="str">
        <f>T("   250840")</f>
        <v xml:space="preserve">   250840</v>
      </c>
      <c r="B4156" t="str">
        <f>T("   Argiles (à l'excl. des argiles réfractaires ou expansées ainsi que du kaolin et des autres argiles kaoliniques)")</f>
        <v xml:space="preserve">   Argiles (à l'excl. des argiles réfractaires ou expansées ainsi que du kaolin et des autres argiles kaoliniques)</v>
      </c>
      <c r="C4156">
        <v>14758226</v>
      </c>
      <c r="D4156">
        <v>9360</v>
      </c>
    </row>
    <row r="4157" spans="1:4" x14ac:dyDescent="0.25">
      <c r="A4157" t="str">
        <f>T("   250900")</f>
        <v xml:space="preserve">   250900</v>
      </c>
      <c r="B4157" t="str">
        <f>T("   Craie")</f>
        <v xml:space="preserve">   Craie</v>
      </c>
      <c r="C4157">
        <v>17369888</v>
      </c>
      <c r="D4157">
        <v>150034</v>
      </c>
    </row>
    <row r="4158" spans="1:4" x14ac:dyDescent="0.25">
      <c r="A4158" t="str">
        <f>T("   251200")</f>
        <v xml:space="preserve">   251200</v>
      </c>
      <c r="B4158" t="str">
        <f>T("   Farines siliceuses fossiles [kieselguhr, tripolite, diatomite, par exemple] et autres terres siliceuses analogues, d'une densité apparente &lt;= 1, même calcinées")</f>
        <v xml:space="preserve">   Farines siliceuses fossiles [kieselguhr, tripolite, diatomite, par exemple] et autres terres siliceuses analogues, d'une densité apparente &lt;= 1, même calcinées</v>
      </c>
      <c r="C4158">
        <v>60973004</v>
      </c>
      <c r="D4158">
        <v>104601</v>
      </c>
    </row>
    <row r="4159" spans="1:4" x14ac:dyDescent="0.25">
      <c r="A4159" t="str">
        <f>T("   251520")</f>
        <v xml:space="preserve">   251520</v>
      </c>
      <c r="B4159" t="s">
        <v>61</v>
      </c>
      <c r="C4159">
        <v>1500000</v>
      </c>
      <c r="D4159">
        <v>4700</v>
      </c>
    </row>
    <row r="4160" spans="1:4" x14ac:dyDescent="0.25">
      <c r="A4160" t="str">
        <f>T("   251990")</f>
        <v xml:space="preserve">   251990</v>
      </c>
      <c r="B4160" t="str">
        <f>T("   Magnésie électrofondue; magnésie calcinée à mort [frittée], même contenant de faibles quantités d'autres oxydes ajoutés avant le frittage; autre oxyde de magnésium (à l'excl. du carbonate de magnésium naturel [magnésite])")</f>
        <v xml:space="preserve">   Magnésie électrofondue; magnésie calcinée à mort [frittée], même contenant de faibles quantités d'autres oxydes ajoutés avant le frittage; autre oxyde de magnésium (à l'excl. du carbonate de magnésium naturel [magnésite])</v>
      </c>
      <c r="C4160">
        <v>640873</v>
      </c>
      <c r="D4160">
        <v>1200</v>
      </c>
    </row>
    <row r="4161" spans="1:4" x14ac:dyDescent="0.25">
      <c r="A4161" t="str">
        <f>T("   252210")</f>
        <v xml:space="preserve">   252210</v>
      </c>
      <c r="B4161" t="str">
        <f>T("   Chaux vive")</f>
        <v xml:space="preserve">   Chaux vive</v>
      </c>
      <c r="C4161">
        <v>6560</v>
      </c>
      <c r="D4161">
        <v>25</v>
      </c>
    </row>
    <row r="4162" spans="1:4" x14ac:dyDescent="0.25">
      <c r="A4162" t="str">
        <f>T("   252220")</f>
        <v xml:space="preserve">   252220</v>
      </c>
      <c r="B4162" t="str">
        <f>T("   Chaux éteinte")</f>
        <v xml:space="preserve">   Chaux éteinte</v>
      </c>
      <c r="C4162">
        <v>14431</v>
      </c>
      <c r="D4162">
        <v>25</v>
      </c>
    </row>
    <row r="4163" spans="1:4" x14ac:dyDescent="0.25">
      <c r="A4163" t="str">
        <f>T("   252321")</f>
        <v xml:space="preserve">   252321</v>
      </c>
      <c r="B4163" t="str">
        <f>T("   Ciments Portland blancs, même colorés artificiellement")</f>
        <v xml:space="preserve">   Ciments Portland blancs, même colorés artificiellement</v>
      </c>
      <c r="C4163">
        <v>6974822</v>
      </c>
      <c r="D4163">
        <v>57025</v>
      </c>
    </row>
    <row r="4164" spans="1:4" x14ac:dyDescent="0.25">
      <c r="A4164" t="str">
        <f>T("   252329")</f>
        <v xml:space="preserve">   252329</v>
      </c>
      <c r="B4164" t="str">
        <f>T("   Ciment Portland normal ou modéré (à l'excl. des ciments Portland blancs, même colorés artificiellement)")</f>
        <v xml:space="preserve">   Ciment Portland normal ou modéré (à l'excl. des ciments Portland blancs, même colorés artificiellement)</v>
      </c>
      <c r="C4164">
        <v>528946</v>
      </c>
      <c r="D4164">
        <v>1684</v>
      </c>
    </row>
    <row r="4165" spans="1:4" x14ac:dyDescent="0.25">
      <c r="A4165" t="str">
        <f>T("   252390")</f>
        <v xml:space="preserve">   252390</v>
      </c>
      <c r="B4165" t="str">
        <f>T("   Ciments, même colorés (à l'excl. des ciments Portland et des ciments alumineux)")</f>
        <v xml:space="preserve">   Ciments, même colorés (à l'excl. des ciments Portland et des ciments alumineux)</v>
      </c>
      <c r="C4165">
        <v>39646879</v>
      </c>
      <c r="D4165">
        <v>1043300</v>
      </c>
    </row>
    <row r="4166" spans="1:4" x14ac:dyDescent="0.25">
      <c r="A4166" t="str">
        <f>T("   253090")</f>
        <v xml:space="preserve">   253090</v>
      </c>
      <c r="B4166" t="str">
        <f>T("   Sulfures d'arsenic, alunite, terre de pouzzolane, terres colorantes et autres matières minérales, n.d.a.")</f>
        <v xml:space="preserve">   Sulfures d'arsenic, alunite, terre de pouzzolane, terres colorantes et autres matières minérales, n.d.a.</v>
      </c>
      <c r="C4166">
        <v>13996782</v>
      </c>
      <c r="D4166">
        <v>43800</v>
      </c>
    </row>
    <row r="4167" spans="1:4" x14ac:dyDescent="0.25">
      <c r="A4167" t="str">
        <f>T("   270750")</f>
        <v xml:space="preserve">   270750</v>
      </c>
      <c r="B4167" t="str">
        <f>T("   MÉLANGES D'HYDROCARBURES AROMATIQUES DISTILLANT &gt;= 65% DE LEUR VOLUME, Y.C. LES PERTES, À 250°C D'APRÈS LA MÉTHODE ASTM D 86 (À L'EXCL. DES PRODUITS DE CONSTITUTION CHIMIQUE DÉFINIE)")</f>
        <v xml:space="preserve">   MÉLANGES D'HYDROCARBURES AROMATIQUES DISTILLANT &gt;= 65% DE LEUR VOLUME, Y.C. LES PERTES, À 250°C D'APRÈS LA MÉTHODE ASTM D 86 (À L'EXCL. DES PRODUITS DE CONSTITUTION CHIMIQUE DÉFINIE)</v>
      </c>
      <c r="C4167">
        <v>9773148</v>
      </c>
      <c r="D4167">
        <v>9133</v>
      </c>
    </row>
    <row r="4168" spans="1:4" x14ac:dyDescent="0.25">
      <c r="A4168" t="str">
        <f>T("   271011")</f>
        <v xml:space="preserve">   271011</v>
      </c>
      <c r="B4168" t="str">
        <f>T("   HUILES LÉGÈRES ET PRÉPARATIONS DE PÉTROLE OU DE MINÉRAUX BITUMINEUX DISTILLANT EN VOLUME, Y.C. LES PERTES, &gt;= 90% À 210°C, D'APRÈS LA MÉTHODE ASTM D 86")</f>
        <v xml:space="preserve">   HUILES LÉGÈRES ET PRÉPARATIONS DE PÉTROLE OU DE MINÉRAUX BITUMINEUX DISTILLANT EN VOLUME, Y.C. LES PERTES, &gt;= 90% À 210°C, D'APRÈS LA MÉTHODE ASTM D 86</v>
      </c>
      <c r="C4168">
        <v>78935966</v>
      </c>
      <c r="D4168">
        <v>215334</v>
      </c>
    </row>
    <row r="4169" spans="1:4" x14ac:dyDescent="0.25">
      <c r="A4169" t="str">
        <f>T("   271019")</f>
        <v xml:space="preserve">   271019</v>
      </c>
      <c r="B4169" t="str">
        <f>T("   Huiles moyennes et préparations, de pétrole ou de minéraux bitumineux, n.d.a.")</f>
        <v xml:space="preserve">   Huiles moyennes et préparations, de pétrole ou de minéraux bitumineux, n.d.a.</v>
      </c>
      <c r="C4169">
        <v>1507563398</v>
      </c>
      <c r="D4169">
        <v>3856669</v>
      </c>
    </row>
    <row r="4170" spans="1:4" x14ac:dyDescent="0.25">
      <c r="A4170" t="str">
        <f>T("   271099")</f>
        <v xml:space="preserve">   271099</v>
      </c>
      <c r="B4170" t="str">
        <f>T("   Déchets d'huiles contenant principalement des huiles de pétrole ou de minéraux bitumineux (à l'excl. des celles contenant des diphényles polychlorés [PCB], des terphényles polychlorés [PCT] ou des diphényles polybromés [PBB])")</f>
        <v xml:space="preserve">   Déchets d'huiles contenant principalement des huiles de pétrole ou de minéraux bitumineux (à l'excl. des celles contenant des diphényles polychlorés [PCB], des terphényles polychlorés [PCT] ou des diphényles polybromés [PBB])</v>
      </c>
      <c r="C4170">
        <v>10017552</v>
      </c>
      <c r="D4170">
        <v>9234</v>
      </c>
    </row>
    <row r="4171" spans="1:4" x14ac:dyDescent="0.25">
      <c r="A4171" t="str">
        <f>T("   271113")</f>
        <v xml:space="preserve">   271113</v>
      </c>
      <c r="B4171" t="str">
        <f>T("   Butanes, liquéfiés (à l'excl. des butanes d'une pureté &gt;= 95% en n-butane ou en isobutane)")</f>
        <v xml:space="preserve">   Butanes, liquéfiés (à l'excl. des butanes d'une pureté &gt;= 95% en n-butane ou en isobutane)</v>
      </c>
      <c r="C4171">
        <v>13005699</v>
      </c>
      <c r="D4171">
        <v>10977</v>
      </c>
    </row>
    <row r="4172" spans="1:4" x14ac:dyDescent="0.25">
      <c r="A4172" t="str">
        <f>T("   271220")</f>
        <v xml:space="preserve">   271220</v>
      </c>
      <c r="B4172" t="str">
        <f>T("   Paraffine contenant en poids &lt; 0,75% d'huile")</f>
        <v xml:space="preserve">   Paraffine contenant en poids &lt; 0,75% d'huile</v>
      </c>
      <c r="C4172">
        <v>210623</v>
      </c>
      <c r="D4172">
        <v>25</v>
      </c>
    </row>
    <row r="4173" spans="1:4" x14ac:dyDescent="0.25">
      <c r="A4173" t="str">
        <f>T("   271320")</f>
        <v xml:space="preserve">   271320</v>
      </c>
      <c r="B4173" t="str">
        <f>T("   Bitume de pétrole")</f>
        <v xml:space="preserve">   Bitume de pétrole</v>
      </c>
      <c r="C4173">
        <v>27022272</v>
      </c>
      <c r="D4173">
        <v>46644</v>
      </c>
    </row>
    <row r="4174" spans="1:4" x14ac:dyDescent="0.25">
      <c r="A4174" t="str">
        <f>T("   271390")</f>
        <v xml:space="preserve">   271390</v>
      </c>
      <c r="B4174" t="str">
        <f>T("   Résidus des huiles de pétrole ou de minéraux bitumineux (à l'excl. du coke de pétrole et du bitume de pétrole)")</f>
        <v xml:space="preserve">   Résidus des huiles de pétrole ou de minéraux bitumineux (à l'excl. du coke de pétrole et du bitume de pétrole)</v>
      </c>
      <c r="C4174">
        <v>289935</v>
      </c>
      <c r="D4174">
        <v>100</v>
      </c>
    </row>
    <row r="4175" spans="1:4" x14ac:dyDescent="0.25">
      <c r="A4175" t="str">
        <f>T("   271500")</f>
        <v xml:space="preserve">   271500</v>
      </c>
      <c r="B4175" t="str">
        <f>T("   Mastics bitumineux, 'cut-backs' et autres mélanges bitumineux à base d'asphalte ou de bitume naturels, de bitume de pétrole, de goudron minéral ou de brai de goudron minéral")</f>
        <v xml:space="preserve">   Mastics bitumineux, 'cut-backs' et autres mélanges bitumineux à base d'asphalte ou de bitume naturels, de bitume de pétrole, de goudron minéral ou de brai de goudron minéral</v>
      </c>
      <c r="C4175">
        <v>46170887</v>
      </c>
      <c r="D4175">
        <v>93919</v>
      </c>
    </row>
    <row r="4176" spans="1:4" x14ac:dyDescent="0.25">
      <c r="A4176" t="str">
        <f>T("   280110")</f>
        <v xml:space="preserve">   280110</v>
      </c>
      <c r="B4176" t="str">
        <f>T("   Chlore")</f>
        <v xml:space="preserve">   Chlore</v>
      </c>
      <c r="C4176">
        <v>1070721</v>
      </c>
      <c r="D4176">
        <v>456</v>
      </c>
    </row>
    <row r="4177" spans="1:4" x14ac:dyDescent="0.25">
      <c r="A4177" t="str">
        <f>T("   280300")</f>
        <v xml:space="preserve">   280300</v>
      </c>
      <c r="B4177" t="str">
        <f>T("   Carbone [noirs de carbone et autres formes de carbone, n.d.a.]")</f>
        <v xml:space="preserve">   Carbone [noirs de carbone et autres formes de carbone, n.d.a.]</v>
      </c>
      <c r="C4177">
        <v>10518319</v>
      </c>
      <c r="D4177">
        <v>2038</v>
      </c>
    </row>
    <row r="4178" spans="1:4" x14ac:dyDescent="0.25">
      <c r="A4178" t="str">
        <f>T("   280421")</f>
        <v xml:space="preserve">   280421</v>
      </c>
      <c r="B4178" t="str">
        <f>T("   Argon")</f>
        <v xml:space="preserve">   Argon</v>
      </c>
      <c r="C4178">
        <v>4380573</v>
      </c>
      <c r="D4178">
        <v>1847</v>
      </c>
    </row>
    <row r="4179" spans="1:4" x14ac:dyDescent="0.25">
      <c r="A4179" t="str">
        <f>T("   280519")</f>
        <v xml:space="preserve">   280519</v>
      </c>
      <c r="B4179" t="str">
        <f>T("   Métaux alcalins ou alcalino-terreux (à l'excl. du sodium et du calcium)")</f>
        <v xml:space="preserve">   Métaux alcalins ou alcalino-terreux (à l'excl. du sodium et du calcium)</v>
      </c>
      <c r="C4179">
        <v>4663876</v>
      </c>
      <c r="D4179">
        <v>1000</v>
      </c>
    </row>
    <row r="4180" spans="1:4" x14ac:dyDescent="0.25">
      <c r="A4180" t="str">
        <f>T("   280610")</f>
        <v xml:space="preserve">   280610</v>
      </c>
      <c r="B4180" t="str">
        <f>T("   Chlorure d'hydrogène [acide chlorhydrique]")</f>
        <v xml:space="preserve">   Chlorure d'hydrogène [acide chlorhydrique]</v>
      </c>
      <c r="C4180">
        <v>8911216</v>
      </c>
      <c r="D4180">
        <v>43015</v>
      </c>
    </row>
    <row r="4181" spans="1:4" x14ac:dyDescent="0.25">
      <c r="A4181" t="str">
        <f>T("   280700")</f>
        <v xml:space="preserve">   280700</v>
      </c>
      <c r="B4181" t="str">
        <f>T("   Acide sulfurique; oléum")</f>
        <v xml:space="preserve">   Acide sulfurique; oléum</v>
      </c>
      <c r="C4181">
        <v>475084</v>
      </c>
      <c r="D4181">
        <v>42</v>
      </c>
    </row>
    <row r="4182" spans="1:4" x14ac:dyDescent="0.25">
      <c r="A4182" t="str">
        <f>T("   280800")</f>
        <v xml:space="preserve">   280800</v>
      </c>
      <c r="B4182" t="str">
        <f>T("   Acide nitrique; acides sulfonitriques")</f>
        <v xml:space="preserve">   Acide nitrique; acides sulfonitriques</v>
      </c>
      <c r="C4182">
        <v>253857</v>
      </c>
      <c r="D4182">
        <v>22</v>
      </c>
    </row>
    <row r="4183" spans="1:4" x14ac:dyDescent="0.25">
      <c r="A4183" t="str">
        <f>T("   280920")</f>
        <v xml:space="preserve">   280920</v>
      </c>
      <c r="B4183" t="str">
        <f>T("   Acide phosphorique; acides polyphosphoriques, de constitution chimique définie ou non")</f>
        <v xml:space="preserve">   Acide phosphorique; acides polyphosphoriques, de constitution chimique définie ou non</v>
      </c>
      <c r="C4183">
        <v>3271692</v>
      </c>
      <c r="D4183">
        <v>585</v>
      </c>
    </row>
    <row r="4184" spans="1:4" x14ac:dyDescent="0.25">
      <c r="A4184" t="str">
        <f>T("   281000")</f>
        <v xml:space="preserve">   281000</v>
      </c>
      <c r="B4184" t="str">
        <f>T("   Oxydes de bore; acides boriques")</f>
        <v xml:space="preserve">   Oxydes de bore; acides boriques</v>
      </c>
      <c r="C4184">
        <v>39459</v>
      </c>
      <c r="D4184">
        <v>1</v>
      </c>
    </row>
    <row r="4185" spans="1:4" x14ac:dyDescent="0.25">
      <c r="A4185" t="str">
        <f>T("   281119")</f>
        <v xml:space="preserve">   281119</v>
      </c>
      <c r="B4185" t="s">
        <v>62</v>
      </c>
      <c r="C4185">
        <v>2434193</v>
      </c>
      <c r="D4185">
        <v>10000</v>
      </c>
    </row>
    <row r="4186" spans="1:4" x14ac:dyDescent="0.25">
      <c r="A4186" t="str">
        <f>T("   281122")</f>
        <v xml:space="preserve">   281122</v>
      </c>
      <c r="B4186" t="str">
        <f>T("   Dioxyde de silicium")</f>
        <v xml:space="preserve">   Dioxyde de silicium</v>
      </c>
      <c r="C4186">
        <v>2497989</v>
      </c>
      <c r="D4186">
        <v>337</v>
      </c>
    </row>
    <row r="4187" spans="1:4" x14ac:dyDescent="0.25">
      <c r="A4187" t="str">
        <f>T("   281129")</f>
        <v xml:space="preserve">   281129</v>
      </c>
      <c r="B4187" t="str">
        <f>T("   COMPOSÉS OXYGÉNÉS INORGANIQUES DES ÉLÉMENTS NON-MÉTALLIQUES (À L'EXCL. DU PENTAOXYDE DE DIPHOSPHORE, DES OXYDES DE BORE AINSI QUE DES DIOXYDES DE CARBONE OU DE SILICIUM)")</f>
        <v xml:space="preserve">   COMPOSÉS OXYGÉNÉS INORGANIQUES DES ÉLÉMENTS NON-MÉTALLIQUES (À L'EXCL. DU PENTAOXYDE DE DIPHOSPHORE, DES OXYDES DE BORE AINSI QUE DES DIOXYDES DE CARBONE OU DE SILICIUM)</v>
      </c>
      <c r="C4187">
        <v>432278</v>
      </c>
      <c r="D4187">
        <v>43</v>
      </c>
    </row>
    <row r="4188" spans="1:4" x14ac:dyDescent="0.25">
      <c r="A4188" t="str">
        <f>T("   281410")</f>
        <v xml:space="preserve">   281410</v>
      </c>
      <c r="B4188" t="str">
        <f>T("   AMMONIAC ANHYDRE")</f>
        <v xml:space="preserve">   AMMONIAC ANHYDRE</v>
      </c>
      <c r="C4188">
        <v>4215330</v>
      </c>
      <c r="D4188">
        <v>3620</v>
      </c>
    </row>
    <row r="4189" spans="1:4" x14ac:dyDescent="0.25">
      <c r="A4189" t="str">
        <f>T("   281420")</f>
        <v xml:space="preserve">   281420</v>
      </c>
      <c r="B4189" t="str">
        <f>T("   Ammoniac en solution aqueuse [ammoniaque]")</f>
        <v xml:space="preserve">   Ammoniac en solution aqueuse [ammoniaque]</v>
      </c>
      <c r="C4189">
        <v>1152523</v>
      </c>
      <c r="D4189">
        <v>950</v>
      </c>
    </row>
    <row r="4190" spans="1:4" x14ac:dyDescent="0.25">
      <c r="A4190" t="str">
        <f>T("   281511")</f>
        <v xml:space="preserve">   281511</v>
      </c>
      <c r="B4190" t="str">
        <f>T("   Hydroxyde de sodium [soude caustique], solide")</f>
        <v xml:space="preserve">   Hydroxyde de sodium [soude caustique], solide</v>
      </c>
      <c r="C4190">
        <v>247056988</v>
      </c>
      <c r="D4190">
        <v>600000</v>
      </c>
    </row>
    <row r="4191" spans="1:4" x14ac:dyDescent="0.25">
      <c r="A4191" t="str">
        <f>T("   281512")</f>
        <v xml:space="preserve">   281512</v>
      </c>
      <c r="B4191" t="str">
        <f>T("   Hydroxyde de sodium en solution aqueuse [lessive de soude caustique]")</f>
        <v xml:space="preserve">   Hydroxyde de sodium en solution aqueuse [lessive de soude caustique]</v>
      </c>
      <c r="C4191">
        <v>1336191</v>
      </c>
      <c r="D4191">
        <v>11</v>
      </c>
    </row>
    <row r="4192" spans="1:4" x14ac:dyDescent="0.25">
      <c r="A4192" t="str">
        <f>T("   281990")</f>
        <v xml:space="preserve">   281990</v>
      </c>
      <c r="B4192" t="str">
        <f>T("   Oxydes et hydroxydes de chrome (à l'excl. du trioxyde)")</f>
        <v xml:space="preserve">   Oxydes et hydroxydes de chrome (à l'excl. du trioxyde)</v>
      </c>
      <c r="C4192">
        <v>17319968</v>
      </c>
      <c r="D4192">
        <v>6738</v>
      </c>
    </row>
    <row r="4193" spans="1:4" x14ac:dyDescent="0.25">
      <c r="A4193" t="str">
        <f>T("   282110")</f>
        <v xml:space="preserve">   282110</v>
      </c>
      <c r="B4193" t="str">
        <f>T("   Oxydes et hydroxydes de fer")</f>
        <v xml:space="preserve">   Oxydes et hydroxydes de fer</v>
      </c>
      <c r="C4193">
        <v>4461669</v>
      </c>
      <c r="D4193">
        <v>2050</v>
      </c>
    </row>
    <row r="4194" spans="1:4" x14ac:dyDescent="0.25">
      <c r="A4194" t="str">
        <f>T("   282619")</f>
        <v xml:space="preserve">   282619</v>
      </c>
      <c r="B4194" t="str">
        <f>T("   FLUORURES (À L'EXCL. DES FLUORURES D'ALUMINIUM ET DU MERCURE)")</f>
        <v xml:space="preserve">   FLUORURES (À L'EXCL. DES FLUORURES D'ALUMINIUM ET DU MERCURE)</v>
      </c>
      <c r="C4194">
        <v>84240568</v>
      </c>
      <c r="D4194">
        <v>4105</v>
      </c>
    </row>
    <row r="4195" spans="1:4" x14ac:dyDescent="0.25">
      <c r="A4195" t="str">
        <f>T("   282720")</f>
        <v xml:space="preserve">   282720</v>
      </c>
      <c r="B4195" t="str">
        <f>T("   Chlorure de calcium")</f>
        <v xml:space="preserve">   Chlorure de calcium</v>
      </c>
      <c r="C4195">
        <v>4423796</v>
      </c>
      <c r="D4195">
        <v>6388</v>
      </c>
    </row>
    <row r="4196" spans="1:4" x14ac:dyDescent="0.25">
      <c r="A4196" t="str">
        <f>T("   282739")</f>
        <v xml:space="preserve">   282739</v>
      </c>
      <c r="B4196" t="str">
        <f>T("   CHLORURES (À L'EXCL. DES CHLORURES D'AMMONIUM, DE CALCIUM, DE MAGNÉSIUM, D'ALUMINIUM, DE NICKEL ET DE MERCURE)")</f>
        <v xml:space="preserve">   CHLORURES (À L'EXCL. DES CHLORURES D'AMMONIUM, DE CALCIUM, DE MAGNÉSIUM, D'ALUMINIUM, DE NICKEL ET DE MERCURE)</v>
      </c>
      <c r="C4196">
        <v>1208928</v>
      </c>
      <c r="D4196">
        <v>904</v>
      </c>
    </row>
    <row r="4197" spans="1:4" x14ac:dyDescent="0.25">
      <c r="A4197" t="str">
        <f>T("   282890")</f>
        <v xml:space="preserve">   282890</v>
      </c>
      <c r="B4197" t="str">
        <f>T("   Hypochlorites, chlorites et hypobromites (à l'excl. des hypochlorites de calcium)")</f>
        <v xml:space="preserve">   Hypochlorites, chlorites et hypobromites (à l'excl. des hypochlorites de calcium)</v>
      </c>
      <c r="C4197">
        <v>21299338</v>
      </c>
      <c r="D4197">
        <v>60683.199999999997</v>
      </c>
    </row>
    <row r="4198" spans="1:4" x14ac:dyDescent="0.25">
      <c r="A4198" t="str">
        <f>T("   283220")</f>
        <v xml:space="preserve">   283220</v>
      </c>
      <c r="B4198" t="str">
        <f>T("   Sulfites (autres que de sodium)")</f>
        <v xml:space="preserve">   Sulfites (autres que de sodium)</v>
      </c>
      <c r="C4198">
        <v>3855733</v>
      </c>
      <c r="D4198">
        <v>1420</v>
      </c>
    </row>
    <row r="4199" spans="1:4" x14ac:dyDescent="0.25">
      <c r="A4199" t="str">
        <f>T("   283322")</f>
        <v xml:space="preserve">   283322</v>
      </c>
      <c r="B4199" t="str">
        <f>T("   SULFATE D'ALUMINIUM")</f>
        <v xml:space="preserve">   SULFATE D'ALUMINIUM</v>
      </c>
      <c r="C4199">
        <v>93146</v>
      </c>
      <c r="D4199">
        <v>1</v>
      </c>
    </row>
    <row r="4200" spans="1:4" x14ac:dyDescent="0.25">
      <c r="A4200" t="str">
        <f>T("   283329")</f>
        <v xml:space="preserve">   283329</v>
      </c>
      <c r="B4200" t="str">
        <f>T("   SULFATES (AUTRES QUE DE SODIUM, DE MAGNÉSIUM, D'ALUMINIUM, DE NICKEL, DE CUIVRE, DE BARYUM OU DE MERCURE)")</f>
        <v xml:space="preserve">   SULFATES (AUTRES QUE DE SODIUM, DE MAGNÉSIUM, D'ALUMINIUM, DE NICKEL, DE CUIVRE, DE BARYUM OU DE MERCURE)</v>
      </c>
      <c r="C4200">
        <v>562157</v>
      </c>
      <c r="D4200">
        <v>218</v>
      </c>
    </row>
    <row r="4201" spans="1:4" x14ac:dyDescent="0.25">
      <c r="A4201" t="str">
        <f>T("   283421")</f>
        <v xml:space="preserve">   283421</v>
      </c>
      <c r="B4201" t="str">
        <f>T("   Nitrate de potassium")</f>
        <v xml:space="preserve">   Nitrate de potassium</v>
      </c>
      <c r="C4201">
        <v>70844</v>
      </c>
      <c r="D4201">
        <v>9</v>
      </c>
    </row>
    <row r="4202" spans="1:4" x14ac:dyDescent="0.25">
      <c r="A4202" t="str">
        <f>T("   283429")</f>
        <v xml:space="preserve">   283429</v>
      </c>
      <c r="B4202" t="str">
        <f>T("   NITRATES (AUTRES QUE DE POTASSIUM OU DE MERCURE)")</f>
        <v xml:space="preserve">   NITRATES (AUTRES QUE DE POTASSIUM OU DE MERCURE)</v>
      </c>
      <c r="C4202">
        <v>3546297</v>
      </c>
      <c r="D4202">
        <v>20605</v>
      </c>
    </row>
    <row r="4203" spans="1:4" x14ac:dyDescent="0.25">
      <c r="A4203" t="str">
        <f>T("   283529")</f>
        <v xml:space="preserve">   283529</v>
      </c>
      <c r="B4203" t="str">
        <f>T("   PHOSPHATES (À L'EXCL. DES PHOSPHATES DE MONOSODIUM, DE DISODIUM, DE POTASSIUM, DE CALCIUM ET DU MERCURE)")</f>
        <v xml:space="preserve">   PHOSPHATES (À L'EXCL. DES PHOSPHATES DE MONOSODIUM, DE DISODIUM, DE POTASSIUM, DE CALCIUM ET DU MERCURE)</v>
      </c>
      <c r="C4203">
        <v>1051504</v>
      </c>
      <c r="D4203">
        <v>300</v>
      </c>
    </row>
    <row r="4204" spans="1:4" x14ac:dyDescent="0.25">
      <c r="A4204" t="str">
        <f>T("   283630")</f>
        <v xml:space="preserve">   283630</v>
      </c>
      <c r="B4204" t="str">
        <f>T("   Hydrogénocarbonate [bicarbonate] de sodium")</f>
        <v xml:space="preserve">   Hydrogénocarbonate [bicarbonate] de sodium</v>
      </c>
      <c r="C4204">
        <v>1819358</v>
      </c>
      <c r="D4204">
        <v>458</v>
      </c>
    </row>
    <row r="4205" spans="1:4" x14ac:dyDescent="0.25">
      <c r="A4205" t="str">
        <f>T("   283650")</f>
        <v xml:space="preserve">   283650</v>
      </c>
      <c r="B4205" t="str">
        <f>T("   Carbonate de calcium")</f>
        <v xml:space="preserve">   Carbonate de calcium</v>
      </c>
      <c r="C4205">
        <v>67603396</v>
      </c>
      <c r="D4205">
        <v>598702</v>
      </c>
    </row>
    <row r="4206" spans="1:4" x14ac:dyDescent="0.25">
      <c r="A4206" t="str">
        <f>T("   283670")</f>
        <v xml:space="preserve">   283670</v>
      </c>
      <c r="B4206" t="str">
        <f>T("   Carbonates de plomb")</f>
        <v xml:space="preserve">   Carbonates de plomb</v>
      </c>
      <c r="C4206">
        <v>14358760</v>
      </c>
      <c r="D4206">
        <v>3800</v>
      </c>
    </row>
    <row r="4207" spans="1:4" x14ac:dyDescent="0.25">
      <c r="A4207" t="str">
        <f>T("   283699")</f>
        <v xml:space="preserve">   283699</v>
      </c>
      <c r="B4207" t="s">
        <v>63</v>
      </c>
      <c r="C4207">
        <v>7450958</v>
      </c>
      <c r="D4207">
        <v>1824</v>
      </c>
    </row>
    <row r="4208" spans="1:4" x14ac:dyDescent="0.25">
      <c r="A4208" t="str">
        <f>T("   283719")</f>
        <v xml:space="preserve">   283719</v>
      </c>
      <c r="B4208" t="str">
        <f>T("   Cyanures et oxycyanures (autres que de sodium)")</f>
        <v xml:space="preserve">   Cyanures et oxycyanures (autres que de sodium)</v>
      </c>
      <c r="C4208">
        <v>237661</v>
      </c>
      <c r="D4208">
        <v>6</v>
      </c>
    </row>
    <row r="4209" spans="1:4" x14ac:dyDescent="0.25">
      <c r="A4209" t="str">
        <f>T("   284321")</f>
        <v xml:space="preserve">   284321</v>
      </c>
      <c r="B4209" t="str">
        <f>T("   Nitrate d'argent")</f>
        <v xml:space="preserve">   Nitrate d'argent</v>
      </c>
      <c r="C4209">
        <v>313549</v>
      </c>
      <c r="D4209">
        <v>12</v>
      </c>
    </row>
    <row r="4210" spans="1:4" x14ac:dyDescent="0.25">
      <c r="A4210" t="str">
        <f>T("   284700")</f>
        <v xml:space="preserve">   284700</v>
      </c>
      <c r="B4210" t="str">
        <f>T("   Peroxyde d'hydrogène [eau oxygénée], même solidifié avec de l'urée")</f>
        <v xml:space="preserve">   Peroxyde d'hydrogène [eau oxygénée], même solidifié avec de l'urée</v>
      </c>
      <c r="C4210">
        <v>1878670</v>
      </c>
      <c r="D4210">
        <v>281</v>
      </c>
    </row>
    <row r="4211" spans="1:4" x14ac:dyDescent="0.25">
      <c r="A4211" t="str">
        <f>T("   285100")</f>
        <v xml:space="preserve">   285100</v>
      </c>
      <c r="B4211" t="str">
        <f>T("   Composés inorganiques, y.c. les eaux distillées, de conductibilité ou de même degré de pureté, n.d.a.; air liquide, y.c. l'air liquide dont les gaz ont été éliminés; air comprimé; amalgames (autres que de métaux précieux)")</f>
        <v xml:space="preserve">   Composés inorganiques, y.c. les eaux distillées, de conductibilité ou de même degré de pureté, n.d.a.; air liquide, y.c. l'air liquide dont les gaz ont été éliminés; air comprimé; amalgames (autres que de métaux précieux)</v>
      </c>
      <c r="C4211">
        <v>360778</v>
      </c>
      <c r="D4211">
        <v>175</v>
      </c>
    </row>
    <row r="4212" spans="1:4" x14ac:dyDescent="0.25">
      <c r="A4212" t="str">
        <f>T("   290219")</f>
        <v xml:space="preserve">   290219</v>
      </c>
      <c r="B4212" t="str">
        <f>T("   Hydrocarbures cyclaniques, cycléniques ou cycloterpéniques (à l'excl. du cyclohexane)")</f>
        <v xml:space="preserve">   Hydrocarbures cyclaniques, cycléniques ou cycloterpéniques (à l'excl. du cyclohexane)</v>
      </c>
      <c r="C4212">
        <v>2333250</v>
      </c>
      <c r="D4212">
        <v>1080</v>
      </c>
    </row>
    <row r="4213" spans="1:4" x14ac:dyDescent="0.25">
      <c r="A4213" t="str">
        <f>T("   290230")</f>
        <v xml:space="preserve">   290230</v>
      </c>
      <c r="B4213" t="str">
        <f>T("   Toluène")</f>
        <v xml:space="preserve">   Toluène</v>
      </c>
      <c r="C4213">
        <v>7183418</v>
      </c>
      <c r="D4213">
        <v>7869</v>
      </c>
    </row>
    <row r="4214" spans="1:4" x14ac:dyDescent="0.25">
      <c r="A4214" t="str">
        <f>T("   290312")</f>
        <v xml:space="preserve">   290312</v>
      </c>
      <c r="B4214" t="str">
        <f>T("   Dichlorométhane [chlorure de méthylène]")</f>
        <v xml:space="preserve">   Dichlorométhane [chlorure de méthylène]</v>
      </c>
      <c r="C4214">
        <v>10465842</v>
      </c>
      <c r="D4214">
        <v>21200</v>
      </c>
    </row>
    <row r="4215" spans="1:4" x14ac:dyDescent="0.25">
      <c r="A4215" t="str">
        <f>T("   290511")</f>
        <v xml:space="preserve">   290511</v>
      </c>
      <c r="B4215" t="str">
        <f>T("   Méthanol [alcool méthylique]")</f>
        <v xml:space="preserve">   Méthanol [alcool méthylique]</v>
      </c>
      <c r="C4215">
        <v>113481</v>
      </c>
      <c r="D4215">
        <v>29</v>
      </c>
    </row>
    <row r="4216" spans="1:4" x14ac:dyDescent="0.25">
      <c r="A4216" t="str">
        <f>T("   290513")</f>
        <v xml:space="preserve">   290513</v>
      </c>
      <c r="B4216" t="str">
        <f>T("   Butane-1-ol [alcool n-butylique]")</f>
        <v xml:space="preserve">   Butane-1-ol [alcool n-butylique]</v>
      </c>
      <c r="C4216">
        <v>846844</v>
      </c>
      <c r="D4216">
        <v>791</v>
      </c>
    </row>
    <row r="4217" spans="1:4" x14ac:dyDescent="0.25">
      <c r="A4217" t="str">
        <f>T("   290517")</f>
        <v xml:space="preserve">   290517</v>
      </c>
      <c r="B4217" t="str">
        <f>T("   Dodécane-1-ol [alcool laurique], hexadécane-1-ol [alcool cétylique] et octadécane-1-ol [alcool stéarique]")</f>
        <v xml:space="preserve">   Dodécane-1-ol [alcool laurique], hexadécane-1-ol [alcool cétylique] et octadécane-1-ol [alcool stéarique]</v>
      </c>
      <c r="C4217">
        <v>601515</v>
      </c>
      <c r="D4217">
        <v>125</v>
      </c>
    </row>
    <row r="4218" spans="1:4" x14ac:dyDescent="0.25">
      <c r="A4218" t="str">
        <f>T("   290519")</f>
        <v xml:space="preserve">   290519</v>
      </c>
      <c r="B4218" t="s">
        <v>65</v>
      </c>
      <c r="C4218">
        <v>181045</v>
      </c>
      <c r="D4218">
        <v>45</v>
      </c>
    </row>
    <row r="4219" spans="1:4" x14ac:dyDescent="0.25">
      <c r="A4219" t="str">
        <f>T("   290531")</f>
        <v xml:space="preserve">   290531</v>
      </c>
      <c r="B4219" t="str">
        <f>T("   ÉTHYLÈNE GLYCOL [ÉTHANEDIOL]")</f>
        <v xml:space="preserve">   ÉTHYLÈNE GLYCOL [ÉTHANEDIOL]</v>
      </c>
      <c r="C4219">
        <v>1921307</v>
      </c>
      <c r="D4219">
        <v>2765</v>
      </c>
    </row>
    <row r="4220" spans="1:4" x14ac:dyDescent="0.25">
      <c r="A4220" t="str">
        <f>T("   290532")</f>
        <v xml:space="preserve">   290532</v>
      </c>
      <c r="B4220" t="str">
        <f>T("   Propylène glycol [propane-1,2-diol]")</f>
        <v xml:space="preserve">   Propylène glycol [propane-1,2-diol]</v>
      </c>
      <c r="C4220">
        <v>27752664</v>
      </c>
      <c r="D4220">
        <v>4323</v>
      </c>
    </row>
    <row r="4221" spans="1:4" x14ac:dyDescent="0.25">
      <c r="A4221" t="str">
        <f>T("   290542")</f>
        <v xml:space="preserve">   290542</v>
      </c>
      <c r="B4221" t="str">
        <f>T("   PENTAÉRYÈRITOL [PENTAÉRYÈRITE]")</f>
        <v xml:space="preserve">   PENTAÉRYÈRITOL [PENTAÉRYÈRITE]</v>
      </c>
      <c r="C4221">
        <v>658584</v>
      </c>
      <c r="D4221">
        <v>190</v>
      </c>
    </row>
    <row r="4222" spans="1:4" x14ac:dyDescent="0.25">
      <c r="A4222" t="str">
        <f>T("   290611")</f>
        <v xml:space="preserve">   290611</v>
      </c>
      <c r="B4222" t="str">
        <f>T("   Menthol")</f>
        <v xml:space="preserve">   Menthol</v>
      </c>
      <c r="C4222">
        <v>172518</v>
      </c>
      <c r="D4222">
        <v>17</v>
      </c>
    </row>
    <row r="4223" spans="1:4" x14ac:dyDescent="0.25">
      <c r="A4223" t="str">
        <f>T("   290911")</f>
        <v xml:space="preserve">   290911</v>
      </c>
      <c r="B4223" t="str">
        <f>T("   Ether diéthylique [oxyde de diéthyle]")</f>
        <v xml:space="preserve">   Ether diéthylique [oxyde de diéthyle]</v>
      </c>
      <c r="C4223">
        <v>10482241</v>
      </c>
      <c r="D4223">
        <v>1075</v>
      </c>
    </row>
    <row r="4224" spans="1:4" x14ac:dyDescent="0.25">
      <c r="A4224" t="str">
        <f>T("   290949")</f>
        <v xml:space="preserve">   290949</v>
      </c>
      <c r="B4224" t="str">
        <f>T("   ÉTHERS-ALCOOLS ET LEURS DÉRIVÉS HALOGÉNÉS, SULFONÉS, NITRÉS OU NITROSÉS (À L'EXCL. DU 2,2'-OXYDIÉTHANOL [DIÉTHYLÈNE-GLYCOL] AINSI QUE DES ÉTHERS MONOALKYLIQUES DE L'ÉTHYLÈNE-GLYCOL OU DU DIÉTHYLÈNE-GLYCOL)")</f>
        <v xml:space="preserve">   ÉTHERS-ALCOOLS ET LEURS DÉRIVÉS HALOGÉNÉS, SULFONÉS, NITRÉS OU NITROSÉS (À L'EXCL. DU 2,2'-OXYDIÉTHANOL [DIÉTHYLÈNE-GLYCOL] AINSI QUE DES ÉTHERS MONOALKYLIQUES DE L'ÉTHYLÈNE-GLYCOL OU DU DIÉTHYLÈNE-GLYCOL)</v>
      </c>
      <c r="C4224">
        <v>1356335</v>
      </c>
      <c r="D4224">
        <v>361</v>
      </c>
    </row>
    <row r="4225" spans="1:4" x14ac:dyDescent="0.25">
      <c r="A4225" t="str">
        <f>T("   291100")</f>
        <v xml:space="preserve">   291100</v>
      </c>
      <c r="B4225" t="str">
        <f>T("   Acétals et hémi-acétals, même contenant d'autres fonctions oxygénées, et leurs dérivés halogénés, sulfonés, nitrés ou nitrosés")</f>
        <v xml:space="preserve">   Acétals et hémi-acétals, même contenant d'autres fonctions oxygénées, et leurs dérivés halogénés, sulfonés, nitrés ou nitrosés</v>
      </c>
      <c r="C4225">
        <v>432934</v>
      </c>
      <c r="D4225">
        <v>86</v>
      </c>
    </row>
    <row r="4226" spans="1:4" x14ac:dyDescent="0.25">
      <c r="A4226" t="str">
        <f>T("   291412")</f>
        <v xml:space="preserve">   291412</v>
      </c>
      <c r="B4226" t="str">
        <f>T("   Butanone [méthyléthylcétone]")</f>
        <v xml:space="preserve">   Butanone [méthyléthylcétone]</v>
      </c>
      <c r="C4226">
        <v>1874734</v>
      </c>
      <c r="D4226">
        <v>98</v>
      </c>
    </row>
    <row r="4227" spans="1:4" x14ac:dyDescent="0.25">
      <c r="A4227" t="str">
        <f>T("   291413")</f>
        <v xml:space="preserve">   291413</v>
      </c>
      <c r="B4227" t="str">
        <f>T("   4-Méthylpentane-2-one [méthylisobutylcétone]")</f>
        <v xml:space="preserve">   4-Méthylpentane-2-one [méthylisobutylcétone]</v>
      </c>
      <c r="C4227">
        <v>3982989</v>
      </c>
      <c r="D4227">
        <v>5152</v>
      </c>
    </row>
    <row r="4228" spans="1:4" x14ac:dyDescent="0.25">
      <c r="A4228" t="str">
        <f>T("   291521")</f>
        <v xml:space="preserve">   291521</v>
      </c>
      <c r="B4228" t="str">
        <f>T("   Acide acétique")</f>
        <v xml:space="preserve">   Acide acétique</v>
      </c>
      <c r="C4228">
        <v>20990</v>
      </c>
      <c r="D4228">
        <v>5</v>
      </c>
    </row>
    <row r="4229" spans="1:4" x14ac:dyDescent="0.25">
      <c r="A4229" t="str">
        <f>T("   291533")</f>
        <v xml:space="preserve">   291533</v>
      </c>
      <c r="B4229" t="str">
        <f>T("   Acétate de n-butyle")</f>
        <v xml:space="preserve">   Acétate de n-butyle</v>
      </c>
      <c r="C4229">
        <v>6448120</v>
      </c>
      <c r="D4229">
        <v>2615</v>
      </c>
    </row>
    <row r="4230" spans="1:4" x14ac:dyDescent="0.25">
      <c r="A4230" t="str">
        <f>T("   291534")</f>
        <v xml:space="preserve">   291534</v>
      </c>
      <c r="B4230" t="str">
        <f>T("   Acétate d'isobutyle")</f>
        <v xml:space="preserve">   Acétate d'isobutyle</v>
      </c>
      <c r="C4230">
        <v>1335535</v>
      </c>
      <c r="D4230">
        <v>1248</v>
      </c>
    </row>
    <row r="4231" spans="1:4" x14ac:dyDescent="0.25">
      <c r="A4231" t="str">
        <f>T("   291539")</f>
        <v xml:space="preserve">   291539</v>
      </c>
      <c r="B4231" t="str">
        <f>T("   Esters de l'acide acétique (à l'excl. des acétates d'éthyle, de vinyle, de n-butyle, d'isobutyle et de 2-éthoxyéthyle)")</f>
        <v xml:space="preserve">   Esters de l'acide acétique (à l'excl. des acétates d'éthyle, de vinyle, de n-butyle, d'isobutyle et de 2-éthoxyéthyle)</v>
      </c>
      <c r="C4231">
        <v>2297480</v>
      </c>
      <c r="D4231">
        <v>875</v>
      </c>
    </row>
    <row r="4232" spans="1:4" x14ac:dyDescent="0.25">
      <c r="A4232" t="str">
        <f>T("   291560")</f>
        <v xml:space="preserve">   291560</v>
      </c>
      <c r="B4232" t="str">
        <f>T("   Acides butanoïques, acides pentanoïques, leurs sels et leurs esters")</f>
        <v xml:space="preserve">   Acides butanoïques, acides pentanoïques, leurs sels et leurs esters</v>
      </c>
      <c r="C4232">
        <v>468355</v>
      </c>
      <c r="D4232">
        <v>75</v>
      </c>
    </row>
    <row r="4233" spans="1:4" x14ac:dyDescent="0.25">
      <c r="A4233" t="str">
        <f>T("   291570")</f>
        <v xml:space="preserve">   291570</v>
      </c>
      <c r="B4233" t="str">
        <f>T("   Acide palmitique, acide stéarique, leurs sels et leurs esters")</f>
        <v xml:space="preserve">   Acide palmitique, acide stéarique, leurs sels et leurs esters</v>
      </c>
      <c r="C4233">
        <v>4898054</v>
      </c>
      <c r="D4233">
        <v>3619</v>
      </c>
    </row>
    <row r="4234" spans="1:4" x14ac:dyDescent="0.25">
      <c r="A4234" t="str">
        <f>T("   291590")</f>
        <v xml:space="preserve">   291590</v>
      </c>
      <c r="B4234" t="s">
        <v>66</v>
      </c>
      <c r="C4234">
        <v>11499</v>
      </c>
      <c r="D4234">
        <v>2</v>
      </c>
    </row>
    <row r="4235" spans="1:4" x14ac:dyDescent="0.25">
      <c r="A4235" t="str">
        <f>T("   291631")</f>
        <v xml:space="preserve">   291631</v>
      </c>
      <c r="B4235" t="str">
        <f>T("   Acide benzoïque, ses sels et ses esters")</f>
        <v xml:space="preserve">   Acide benzoïque, ses sels et ses esters</v>
      </c>
      <c r="C4235">
        <v>3205579</v>
      </c>
      <c r="D4235">
        <v>1025</v>
      </c>
    </row>
    <row r="4236" spans="1:4" x14ac:dyDescent="0.25">
      <c r="A4236" t="str">
        <f>T("   291639")</f>
        <v xml:space="preserve">   291639</v>
      </c>
      <c r="B4236" t="s">
        <v>67</v>
      </c>
      <c r="C4236">
        <v>350742</v>
      </c>
      <c r="D4236">
        <v>255</v>
      </c>
    </row>
    <row r="4237" spans="1:4" x14ac:dyDescent="0.25">
      <c r="A4237" t="str">
        <f>T("   291732")</f>
        <v xml:space="preserve">   291732</v>
      </c>
      <c r="B4237" t="str">
        <f>T("   Orthophtalates de dioctyle")</f>
        <v xml:space="preserve">   Orthophtalates de dioctyle</v>
      </c>
      <c r="C4237">
        <v>1269939</v>
      </c>
      <c r="D4237">
        <v>536</v>
      </c>
    </row>
    <row r="4238" spans="1:4" x14ac:dyDescent="0.25">
      <c r="A4238" t="str">
        <f>T("   291814")</f>
        <v xml:space="preserve">   291814</v>
      </c>
      <c r="B4238" t="str">
        <f>T("   Acide citrique")</f>
        <v xml:space="preserve">   Acide citrique</v>
      </c>
      <c r="C4238">
        <v>19384531</v>
      </c>
      <c r="D4238">
        <v>14160</v>
      </c>
    </row>
    <row r="4239" spans="1:4" x14ac:dyDescent="0.25">
      <c r="A4239" t="str">
        <f>T("   291890")</f>
        <v xml:space="preserve">   291890</v>
      </c>
      <c r="B4239" t="s">
        <v>68</v>
      </c>
      <c r="C4239">
        <v>44604</v>
      </c>
      <c r="D4239">
        <v>1</v>
      </c>
    </row>
    <row r="4240" spans="1:4" x14ac:dyDescent="0.25">
      <c r="A4240" t="str">
        <f>T("   292320")</f>
        <v xml:space="preserve">   292320</v>
      </c>
      <c r="B4240" t="str">
        <f>T("   Lécithines et autres phosphoaminolipides, de constitution chimique définie ou non")</f>
        <v xml:space="preserve">   Lécithines et autres phosphoaminolipides, de constitution chimique définie ou non</v>
      </c>
      <c r="C4240">
        <v>3485772</v>
      </c>
      <c r="D4240">
        <v>3130</v>
      </c>
    </row>
    <row r="4241" spans="1:4" x14ac:dyDescent="0.25">
      <c r="A4241" t="str">
        <f>T("   292690")</f>
        <v xml:space="preserve">   292690</v>
      </c>
      <c r="B4241" t="str">
        <f>T("   Composés à fonction nitrile (à l'excl. de l'acrylonitrile, de la 1-cyanoguanidine [dicyandiamide], du fenproporex [DCI] et ses sels, et du méthadone [DCI]-intermédiaire [4-cyano-2-diméthylamino-4,4-diphénylbutane])")</f>
        <v xml:space="preserve">   Composés à fonction nitrile (à l'excl. de l'acrylonitrile, de la 1-cyanoguanidine [dicyandiamide], du fenproporex [DCI] et ses sels, et du méthadone [DCI]-intermédiaire [4-cyano-2-diméthylamino-4,4-diphénylbutane])</v>
      </c>
      <c r="C4241">
        <v>57725</v>
      </c>
      <c r="D4241">
        <v>15</v>
      </c>
    </row>
    <row r="4242" spans="1:4" x14ac:dyDescent="0.25">
      <c r="A4242" t="str">
        <f>T("   292910")</f>
        <v xml:space="preserve">   292910</v>
      </c>
      <c r="B4242" t="str">
        <f>T("   Isocyanates")</f>
        <v xml:space="preserve">   Isocyanates</v>
      </c>
      <c r="C4242">
        <v>265097049</v>
      </c>
      <c r="D4242">
        <v>162188</v>
      </c>
    </row>
    <row r="4243" spans="1:4" x14ac:dyDescent="0.25">
      <c r="A4243" t="str">
        <f>T("   293369")</f>
        <v xml:space="preserve">   293369</v>
      </c>
      <c r="B4243" t="str">
        <f>T("   COMPOSÉS HÉTÉROCYCLIQUES À HÉTÉROATOME[S] D'AZOTE EXCLUSIVEMENT, DONT LA STRUCTURE COMPORTE UN CYCLE TRIAZINE, HYDROGÉNÉ OU NON, NON-CONDENSÉ (À L'EXCL. DE LA MÉLAMINE)")</f>
        <v xml:space="preserve">   COMPOSÉS HÉTÉROCYCLIQUES À HÉTÉROATOME[S] D'AZOTE EXCLUSIVEMENT, DONT LA STRUCTURE COMPORTE UN CYCLE TRIAZINE, HYDROGÉNÉ OU NON, NON-CONDENSÉ (À L'EXCL. DE LA MÉLAMINE)</v>
      </c>
      <c r="C4243">
        <v>598892</v>
      </c>
      <c r="D4243">
        <v>234</v>
      </c>
    </row>
    <row r="4244" spans="1:4" x14ac:dyDescent="0.25">
      <c r="A4244" t="str">
        <f>T("   293627")</f>
        <v xml:space="preserve">   293627</v>
      </c>
      <c r="B4244" t="str">
        <f>T("   Vitamine C et ses dérivés utilisés principalement en tant que vitamines")</f>
        <v xml:space="preserve">   Vitamine C et ses dérivés utilisés principalement en tant que vitamines</v>
      </c>
      <c r="C4244">
        <v>16117379</v>
      </c>
      <c r="D4244">
        <v>3465</v>
      </c>
    </row>
    <row r="4245" spans="1:4" x14ac:dyDescent="0.25">
      <c r="A4245" t="str">
        <f>T("   293629")</f>
        <v xml:space="preserve">   293629</v>
      </c>
      <c r="B4245" t="str">
        <f>T("   VITAMINES ET LEURS DÉRIVÉS UTILISÉS PRINCIPALEMENT EN TANT QUE VITAMINES, NON-MÉLANGÉS (À L'EXCL. DES VITAMINES A, B1, B2, B3, B5, B6, B12, C ET E AINSI QUE DES DÉRIVÉS DE CES VITAMINES)")</f>
        <v xml:space="preserve">   VITAMINES ET LEURS DÉRIVÉS UTILISÉS PRINCIPALEMENT EN TANT QUE VITAMINES, NON-MÉLANGÉS (À L'EXCL. DES VITAMINES A, B1, B2, B3, B5, B6, B12, C ET E AINSI QUE DES DÉRIVÉS DE CES VITAMINES)</v>
      </c>
      <c r="C4245">
        <v>14371427</v>
      </c>
      <c r="D4245">
        <v>5679</v>
      </c>
    </row>
    <row r="4246" spans="1:4" x14ac:dyDescent="0.25">
      <c r="A4246" t="str">
        <f>T("   293690")</f>
        <v xml:space="preserve">   293690</v>
      </c>
      <c r="B4246" t="str">
        <f>T("   Mélanges de provitamines ou de vitamines, même en solutions quelconques, et concentrats naturels de vitamines")</f>
        <v xml:space="preserve">   Mélanges de provitamines ou de vitamines, même en solutions quelconques, et concentrats naturels de vitamines</v>
      </c>
      <c r="C4246">
        <v>23584133</v>
      </c>
      <c r="D4246">
        <v>5117</v>
      </c>
    </row>
    <row r="4247" spans="1:4" x14ac:dyDescent="0.25">
      <c r="A4247" t="str">
        <f>T("   294200")</f>
        <v xml:space="preserve">   294200</v>
      </c>
      <c r="B4247" t="str">
        <f>T("   Composés organiques de constitution chimique définie présentés isolément, n.d.a.")</f>
        <v xml:space="preserve">   Composés organiques de constitution chimique définie présentés isolément, n.d.a.</v>
      </c>
      <c r="C4247">
        <v>1304048</v>
      </c>
      <c r="D4247">
        <v>299</v>
      </c>
    </row>
    <row r="4248" spans="1:4" x14ac:dyDescent="0.25">
      <c r="A4248" t="str">
        <f>T("   300220")</f>
        <v xml:space="preserve">   300220</v>
      </c>
      <c r="B4248" t="str">
        <f>T("   Vaccins pour la médecine humaine")</f>
        <v xml:space="preserve">   Vaccins pour la médecine humaine</v>
      </c>
      <c r="C4248">
        <v>564892838</v>
      </c>
      <c r="D4248">
        <v>5792</v>
      </c>
    </row>
    <row r="4249" spans="1:4" x14ac:dyDescent="0.25">
      <c r="A4249" t="str">
        <f>T("   300230")</f>
        <v xml:space="preserve">   300230</v>
      </c>
      <c r="B4249" t="str">
        <f>T("   Vaccins pour la médecine vétérinaire")</f>
        <v xml:space="preserve">   Vaccins pour la médecine vétérinaire</v>
      </c>
      <c r="C4249">
        <v>73949328</v>
      </c>
      <c r="D4249">
        <v>2450</v>
      </c>
    </row>
    <row r="4250" spans="1:4" x14ac:dyDescent="0.25">
      <c r="A4250" t="str">
        <f>T("   300339")</f>
        <v xml:space="preserve">   300339</v>
      </c>
      <c r="B4250" t="str">
        <f>T("   Médicaments contenant des hormones ou des stéroïdes utilisés comme hormones, mais ne contenant pas d'antibiotiques, non présentés sous forme de doses, ni conditionnés pour la vente au détail (à l'excl. des médicaments contenant de l'insuline)")</f>
        <v xml:space="preserve">   Médicaments contenant des hormones ou des stéroïdes utilisés comme hormones, mais ne contenant pas d'antibiotiques, non présentés sous forme de doses, ni conditionnés pour la vente au détail (à l'excl. des médicaments contenant de l'insuline)</v>
      </c>
      <c r="C4250">
        <v>1110868</v>
      </c>
      <c r="D4250">
        <v>39</v>
      </c>
    </row>
    <row r="4251" spans="1:4" x14ac:dyDescent="0.25">
      <c r="A4251" t="str">
        <f>T("   300390")</f>
        <v xml:space="preserve">   300390</v>
      </c>
      <c r="B4251" t="s">
        <v>73</v>
      </c>
      <c r="C4251">
        <v>1967539</v>
      </c>
      <c r="D4251">
        <v>251</v>
      </c>
    </row>
    <row r="4252" spans="1:4" x14ac:dyDescent="0.25">
      <c r="A4252" t="str">
        <f>T("   300410")</f>
        <v xml:space="preserve">   300410</v>
      </c>
      <c r="B4252" t="s">
        <v>74</v>
      </c>
      <c r="C4252">
        <v>7454317516</v>
      </c>
      <c r="D4252">
        <v>645222</v>
      </c>
    </row>
    <row r="4253" spans="1:4" x14ac:dyDescent="0.25">
      <c r="A4253" t="str">
        <f>T("   300420")</f>
        <v xml:space="preserve">   300420</v>
      </c>
      <c r="B4253" t="s">
        <v>75</v>
      </c>
      <c r="C4253">
        <v>1060254</v>
      </c>
      <c r="D4253">
        <v>387</v>
      </c>
    </row>
    <row r="4254" spans="1:4" x14ac:dyDescent="0.25">
      <c r="A4254" t="str">
        <f>T("   300431")</f>
        <v xml:space="preserve">   300431</v>
      </c>
      <c r="B4254" t="str">
        <f>T("   Médicaments contenant de l'insuline, mais ne contenant pas d'antibiotiques, présentés sous forme de doses [y.c. ceux destinés à être administrés par voie percutanée] ou conditionnés pour la vente au détail")</f>
        <v xml:space="preserve">   Médicaments contenant de l'insuline, mais ne contenant pas d'antibiotiques, présentés sous forme de doses [y.c. ceux destinés à être administrés par voie percutanée] ou conditionnés pour la vente au détail</v>
      </c>
      <c r="C4254">
        <v>7653741</v>
      </c>
      <c r="D4254">
        <v>135</v>
      </c>
    </row>
    <row r="4255" spans="1:4" x14ac:dyDescent="0.25">
      <c r="A4255" t="str">
        <f>T("   300439")</f>
        <v xml:space="preserve">   300439</v>
      </c>
      <c r="B4255" t="s">
        <v>76</v>
      </c>
      <c r="C4255">
        <v>1145307</v>
      </c>
      <c r="D4255">
        <v>305</v>
      </c>
    </row>
    <row r="4256" spans="1:4" x14ac:dyDescent="0.25">
      <c r="A4256" t="str">
        <f>T("   300450")</f>
        <v xml:space="preserve">   300450</v>
      </c>
      <c r="B4256" t="s">
        <v>77</v>
      </c>
      <c r="C4256">
        <v>57340986</v>
      </c>
      <c r="D4256">
        <v>39793</v>
      </c>
    </row>
    <row r="4257" spans="1:4" x14ac:dyDescent="0.25">
      <c r="A4257" t="str">
        <f>T("   300490")</f>
        <v xml:space="preserve">   300490</v>
      </c>
      <c r="B4257" t="s">
        <v>78</v>
      </c>
      <c r="C4257">
        <v>21292028916</v>
      </c>
      <c r="D4257">
        <v>1855054.2</v>
      </c>
    </row>
    <row r="4258" spans="1:4" x14ac:dyDescent="0.25">
      <c r="A4258" t="str">
        <f>T("   300510")</f>
        <v xml:space="preserve">   300510</v>
      </c>
      <c r="B4258" t="str">
        <f>T("   Pansements adhésifs et autres articles ayant une couche adhésive, imprégnés ou recouverts de substances pharmaceutiques ou conditionnés pour la vente au détail à des fins médicales, chirurgicales, dentaires ou vétérinaires")</f>
        <v xml:space="preserve">   Pansements adhésifs et autres articles ayant une couche adhésive, imprégnés ou recouverts de substances pharmaceutiques ou conditionnés pour la vente au détail à des fins médicales, chirurgicales, dentaires ou vétérinaires</v>
      </c>
      <c r="C4258">
        <v>276532071</v>
      </c>
      <c r="D4258">
        <v>54210</v>
      </c>
    </row>
    <row r="4259" spans="1:4" x14ac:dyDescent="0.25">
      <c r="A4259" t="str">
        <f>T("   300590")</f>
        <v xml:space="preserve">   300590</v>
      </c>
      <c r="B4259" t="s">
        <v>79</v>
      </c>
      <c r="C4259">
        <v>234823040</v>
      </c>
      <c r="D4259">
        <v>47109</v>
      </c>
    </row>
    <row r="4260" spans="1:4" x14ac:dyDescent="0.25">
      <c r="A4260" t="str">
        <f>T("   300610")</f>
        <v xml:space="preserve">   300610</v>
      </c>
      <c r="B4260" t="s">
        <v>80</v>
      </c>
      <c r="C4260">
        <v>56712976</v>
      </c>
      <c r="D4260">
        <v>1168</v>
      </c>
    </row>
    <row r="4261" spans="1:4" x14ac:dyDescent="0.25">
      <c r="A4261" t="str">
        <f>T("   300620")</f>
        <v xml:space="preserve">   300620</v>
      </c>
      <c r="B4261" t="str">
        <f>T("   Réactifs destinés à la détermination des groupes ou des facteurs sanguins")</f>
        <v xml:space="preserve">   Réactifs destinés à la détermination des groupes ou des facteurs sanguins</v>
      </c>
      <c r="C4261">
        <v>18167882</v>
      </c>
      <c r="D4261">
        <v>84</v>
      </c>
    </row>
    <row r="4262" spans="1:4" x14ac:dyDescent="0.25">
      <c r="A4262" t="str">
        <f>T("   300630")</f>
        <v xml:space="preserve">   300630</v>
      </c>
      <c r="B4262" t="str">
        <f>T("   Préparations opacifiantes pour examens radiographiques; réactifs de diagnostic conçus pour être employés sur le patient")</f>
        <v xml:space="preserve">   Préparations opacifiantes pour examens radiographiques; réactifs de diagnostic conçus pour être employés sur le patient</v>
      </c>
      <c r="C4262">
        <v>2836109</v>
      </c>
      <c r="D4262">
        <v>84</v>
      </c>
    </row>
    <row r="4263" spans="1:4" x14ac:dyDescent="0.25">
      <c r="A4263" t="str">
        <f>T("   300670")</f>
        <v xml:space="preserve">   300670</v>
      </c>
      <c r="B4263" t="s">
        <v>81</v>
      </c>
      <c r="C4263">
        <v>10175253</v>
      </c>
      <c r="D4263">
        <v>1006</v>
      </c>
    </row>
    <row r="4264" spans="1:4" x14ac:dyDescent="0.25">
      <c r="A4264" t="str">
        <f>T("   310230")</f>
        <v xml:space="preserve">   310230</v>
      </c>
      <c r="B4264" t="str">
        <f>T("   Nitrate d'ammonium, même en solution aqueuse (à l'excl. des produits présentés soit en tablettes ou formes simil., soit en emballages d'un poids brut &lt;= 10 kg)")</f>
        <v xml:space="preserve">   Nitrate d'ammonium, même en solution aqueuse (à l'excl. des produits présentés soit en tablettes ou formes simil., soit en emballages d'un poids brut &lt;= 10 kg)</v>
      </c>
      <c r="C4264">
        <v>38832832</v>
      </c>
      <c r="D4264">
        <v>82400</v>
      </c>
    </row>
    <row r="4265" spans="1:4" x14ac:dyDescent="0.25">
      <c r="A4265" t="str">
        <f>T("   320300")</f>
        <v xml:space="preserve">   320300</v>
      </c>
      <c r="B4265" t="s">
        <v>85</v>
      </c>
      <c r="C4265">
        <v>11951139</v>
      </c>
      <c r="D4265">
        <v>2890</v>
      </c>
    </row>
    <row r="4266" spans="1:4" x14ac:dyDescent="0.25">
      <c r="A4266" t="str">
        <f>T("   320411")</f>
        <v xml:space="preserve">   320411</v>
      </c>
      <c r="B4266" t="s">
        <v>86</v>
      </c>
      <c r="C4266">
        <v>2146301</v>
      </c>
      <c r="D4266">
        <v>180</v>
      </c>
    </row>
    <row r="4267" spans="1:4" x14ac:dyDescent="0.25">
      <c r="A4267" t="str">
        <f>T("   320412")</f>
        <v xml:space="preserve">   320412</v>
      </c>
      <c r="B4267" t="s">
        <v>87</v>
      </c>
      <c r="C4267">
        <v>549694</v>
      </c>
      <c r="D4267">
        <v>10</v>
      </c>
    </row>
    <row r="4268" spans="1:4" x14ac:dyDescent="0.25">
      <c r="A4268" t="str">
        <f>T("   320413")</f>
        <v xml:space="preserve">   320413</v>
      </c>
      <c r="B4268" t="s">
        <v>88</v>
      </c>
      <c r="C4268">
        <v>82328884</v>
      </c>
      <c r="D4268">
        <v>20931</v>
      </c>
    </row>
    <row r="4269" spans="1:4" x14ac:dyDescent="0.25">
      <c r="A4269" t="str">
        <f>T("   320417")</f>
        <v xml:space="preserve">   320417</v>
      </c>
      <c r="B4269" t="s">
        <v>90</v>
      </c>
      <c r="C4269">
        <v>6701287</v>
      </c>
      <c r="D4269">
        <v>948</v>
      </c>
    </row>
    <row r="4270" spans="1:4" x14ac:dyDescent="0.25">
      <c r="A4270" t="str">
        <f>T("   320419")</f>
        <v xml:space="preserve">   320419</v>
      </c>
      <c r="B4270" t="s">
        <v>91</v>
      </c>
      <c r="C4270">
        <v>6998392</v>
      </c>
      <c r="D4270">
        <v>21900</v>
      </c>
    </row>
    <row r="4271" spans="1:4" x14ac:dyDescent="0.25">
      <c r="A4271" t="str">
        <f>T("   320420")</f>
        <v xml:space="preserve">   320420</v>
      </c>
      <c r="B4271" t="str">
        <f>T("   Produits organiques synthétiques des types utilisés comme agents d'avivage fluorescents, même de constitution chimique définie")</f>
        <v xml:space="preserve">   Produits organiques synthétiques des types utilisés comme agents d'avivage fluorescents, même de constitution chimique définie</v>
      </c>
      <c r="C4271">
        <v>2130558</v>
      </c>
      <c r="D4271">
        <v>750</v>
      </c>
    </row>
    <row r="4272" spans="1:4" x14ac:dyDescent="0.25">
      <c r="A4272" t="str">
        <f>T("   320490")</f>
        <v xml:space="preserve">   320490</v>
      </c>
      <c r="B4272" t="str">
        <f>T("   Produits organiques synthétiques des types utilisés comme luminophores, même de constitution chimique définie")</f>
        <v xml:space="preserve">   Produits organiques synthétiques des types utilisés comme luminophores, même de constitution chimique définie</v>
      </c>
      <c r="C4272">
        <v>28411394</v>
      </c>
      <c r="D4272">
        <v>23549</v>
      </c>
    </row>
    <row r="4273" spans="1:4" x14ac:dyDescent="0.25">
      <c r="A4273" t="str">
        <f>T("   320611")</f>
        <v xml:space="preserve">   320611</v>
      </c>
      <c r="B4273" t="s">
        <v>92</v>
      </c>
      <c r="C4273">
        <v>46005020</v>
      </c>
      <c r="D4273">
        <v>54700</v>
      </c>
    </row>
    <row r="4274" spans="1:4" x14ac:dyDescent="0.25">
      <c r="A4274" t="str">
        <f>T("   320710")</f>
        <v xml:space="preserve">   320710</v>
      </c>
      <c r="B4274" t="str">
        <f>T("   Pigments, opacifiants et couleurs préparés et préparations simil., des types utilisés pour la céramique, l'émaillerie ou la verrerie")</f>
        <v xml:space="preserve">   Pigments, opacifiants et couleurs préparés et préparations simil., des types utilisés pour la céramique, l'émaillerie ou la verrerie</v>
      </c>
      <c r="C4274">
        <v>5351977</v>
      </c>
      <c r="D4274">
        <v>384</v>
      </c>
    </row>
    <row r="4275" spans="1:4" x14ac:dyDescent="0.25">
      <c r="A4275" t="str">
        <f>T("   320810")</f>
        <v xml:space="preserve">   320810</v>
      </c>
      <c r="B4275" t="str">
        <f>T("   PEINTURES ET VERNIS À BASE DE POLYESTERS, DISPERSÉS OU DISSOUS DANS UN MILIEU NON-AQUEUX, ET PRODUITS À BASE DE POLYESTERS EN SOLUTION DANS DES SOLVANTS ORGANIQUES VOLATILS, POUR AUTANT QUE LA PROPORTION DU SOLVANT &gt; 50% DU POIDS DE LA SOLUTION")</f>
        <v xml:space="preserve">   PEINTURES ET VERNIS À BASE DE POLYESTERS, DISPERSÉS OU DISSOUS DANS UN MILIEU NON-AQUEUX, ET PRODUITS À BASE DE POLYESTERS EN SOLUTION DANS DES SOLVANTS ORGANIQUES VOLATILS, POUR AUTANT QUE LA PROPORTION DU SOLVANT &gt; 50% DU POIDS DE LA SOLUTION</v>
      </c>
      <c r="C4275">
        <v>1284370</v>
      </c>
      <c r="D4275">
        <v>796</v>
      </c>
    </row>
    <row r="4276" spans="1:4" x14ac:dyDescent="0.25">
      <c r="A4276" t="str">
        <f>T("   320820")</f>
        <v xml:space="preserve">   320820</v>
      </c>
      <c r="B4276" t="s">
        <v>95</v>
      </c>
      <c r="C4276">
        <v>1527670</v>
      </c>
      <c r="D4276">
        <v>141</v>
      </c>
    </row>
    <row r="4277" spans="1:4" x14ac:dyDescent="0.25">
      <c r="A4277" t="str">
        <f>T("   320890")</f>
        <v xml:space="preserve">   320890</v>
      </c>
      <c r="B4277" t="s">
        <v>96</v>
      </c>
      <c r="C4277">
        <v>23072062</v>
      </c>
      <c r="D4277">
        <v>15321</v>
      </c>
    </row>
    <row r="4278" spans="1:4" x14ac:dyDescent="0.25">
      <c r="A4278" t="str">
        <f>T("   320990")</f>
        <v xml:space="preserve">   320990</v>
      </c>
      <c r="B4278" t="str">
        <f>T("   Peintures et vernis à base de polymères synthétiques ou de polymères naturels modifiés, dispersés ou dissous dans un milieu aqueux (à l'excl. des produits à base de polymères acryliques ou vinyliques)")</f>
        <v xml:space="preserve">   Peintures et vernis à base de polymères synthétiques ou de polymères naturels modifiés, dispersés ou dissous dans un milieu aqueux (à l'excl. des produits à base de polymères acryliques ou vinyliques)</v>
      </c>
      <c r="C4278">
        <v>303054</v>
      </c>
      <c r="D4278">
        <v>80</v>
      </c>
    </row>
    <row r="4279" spans="1:4" x14ac:dyDescent="0.25">
      <c r="A4279" t="str">
        <f>T("   321000")</f>
        <v xml:space="preserve">   321000</v>
      </c>
      <c r="B4279" t="str">
        <f>T("   Peintures et vernis (à l'excl. des produits à base de polymères synthétiques ou de polymères naturels modifiés); pigments à l'eau préparés des types utilisés pour le finissage des cuirs")</f>
        <v xml:space="preserve">   Peintures et vernis (à l'excl. des produits à base de polymères synthétiques ou de polymères naturels modifiés); pigments à l'eau préparés des types utilisés pour le finissage des cuirs</v>
      </c>
      <c r="C4279">
        <v>9466684</v>
      </c>
      <c r="D4279">
        <v>4154</v>
      </c>
    </row>
    <row r="4280" spans="1:4" x14ac:dyDescent="0.25">
      <c r="A4280" t="str">
        <f>T("   321100")</f>
        <v xml:space="preserve">   321100</v>
      </c>
      <c r="B4280" t="str">
        <f>T("   Siccatifs préparés")</f>
        <v xml:space="preserve">   Siccatifs préparés</v>
      </c>
      <c r="C4280">
        <v>3771114</v>
      </c>
      <c r="D4280">
        <v>688</v>
      </c>
    </row>
    <row r="4281" spans="1:4" x14ac:dyDescent="0.25">
      <c r="A4281" t="str">
        <f>T("   321210")</f>
        <v xml:space="preserve">   321210</v>
      </c>
      <c r="B4281" t="str">
        <f>T("   Feuilles pour le marquage au fer, des types utilisés pour le marquage des reliures, des cuirs ou coiffes de chapeaux")</f>
        <v xml:space="preserve">   Feuilles pour le marquage au fer, des types utilisés pour le marquage des reliures, des cuirs ou coiffes de chapeaux</v>
      </c>
      <c r="C4281">
        <v>4447277</v>
      </c>
      <c r="D4281">
        <v>409</v>
      </c>
    </row>
    <row r="4282" spans="1:4" x14ac:dyDescent="0.25">
      <c r="A4282" t="str">
        <f>T("   321290")</f>
        <v xml:space="preserve">   321290</v>
      </c>
      <c r="B4282" t="s">
        <v>97</v>
      </c>
      <c r="C4282">
        <v>1637276</v>
      </c>
      <c r="D4282">
        <v>350</v>
      </c>
    </row>
    <row r="4283" spans="1:4" x14ac:dyDescent="0.25">
      <c r="A4283" t="str">
        <f>T("   321310")</f>
        <v xml:space="preserve">   321310</v>
      </c>
      <c r="B4283" t="str">
        <f>T("   Couleurs en assortiments pour la peinture artistique, l'enseignement, la peinture des enseignes, la modification des nuances, l'amusement et couleurs simil., en pastilles, tubes, pots, flacons, godets ou conditionnements simil.")</f>
        <v xml:space="preserve">   Couleurs en assortiments pour la peinture artistique, l'enseignement, la peinture des enseignes, la modification des nuances, l'amusement et couleurs simil., en pastilles, tubes, pots, flacons, godets ou conditionnements simil.</v>
      </c>
      <c r="C4283">
        <v>1403217</v>
      </c>
      <c r="D4283">
        <v>367</v>
      </c>
    </row>
    <row r="4284" spans="1:4" x14ac:dyDescent="0.25">
      <c r="A4284" t="str">
        <f>T("   321390")</f>
        <v xml:space="preserve">   321390</v>
      </c>
      <c r="B4284" t="str">
        <f>T("   Couleurs pour la peinture artistique, l'enseignement, la peinture des enseignes, la modification des nuances, l'amusement et couleurs simil., en pastilles, tubes, pots, flacons, godets ou conditionnements simil. (à l'excl. des couleurs en assortiments)")</f>
        <v xml:space="preserve">   Couleurs pour la peinture artistique, l'enseignement, la peinture des enseignes, la modification des nuances, l'amusement et couleurs simil., en pastilles, tubes, pots, flacons, godets ou conditionnements simil. (à l'excl. des couleurs en assortiments)</v>
      </c>
      <c r="C4284">
        <v>1120380</v>
      </c>
      <c r="D4284">
        <v>212</v>
      </c>
    </row>
    <row r="4285" spans="1:4" x14ac:dyDescent="0.25">
      <c r="A4285" t="str">
        <f>T("   321410")</f>
        <v xml:space="preserve">   321410</v>
      </c>
      <c r="B4285" t="str">
        <f>T("   Mastic de vitrier, ciments de résine et autres mastics; enduits utilisés en peinture")</f>
        <v xml:space="preserve">   Mastic de vitrier, ciments de résine et autres mastics; enduits utilisés en peinture</v>
      </c>
      <c r="C4285">
        <v>10264383</v>
      </c>
      <c r="D4285">
        <v>1471</v>
      </c>
    </row>
    <row r="4286" spans="1:4" x14ac:dyDescent="0.25">
      <c r="A4286" t="str">
        <f>T("   321490")</f>
        <v xml:space="preserve">   321490</v>
      </c>
      <c r="B4286" t="str">
        <f>T("   Enduits non réfractaires des types utilisés en maçonnerie")</f>
        <v xml:space="preserve">   Enduits non réfractaires des types utilisés en maçonnerie</v>
      </c>
      <c r="C4286">
        <v>36130999</v>
      </c>
      <c r="D4286">
        <v>43061</v>
      </c>
    </row>
    <row r="4287" spans="1:4" x14ac:dyDescent="0.25">
      <c r="A4287" t="str">
        <f>T("   321511")</f>
        <v xml:space="preserve">   321511</v>
      </c>
      <c r="B4287" t="str">
        <f>T("   Encres d'imprimerie, noires, même concentrées ou sous formes solides")</f>
        <v xml:space="preserve">   Encres d'imprimerie, noires, même concentrées ou sous formes solides</v>
      </c>
      <c r="C4287">
        <v>39828289</v>
      </c>
      <c r="D4287">
        <v>5221</v>
      </c>
    </row>
    <row r="4288" spans="1:4" x14ac:dyDescent="0.25">
      <c r="A4288" t="str">
        <f>T("   321519")</f>
        <v xml:space="preserve">   321519</v>
      </c>
      <c r="B4288" t="str">
        <f>T("   Encres d'imprimerie, même concentrées ou sous formes solides (à l'excl. des encres noires)")</f>
        <v xml:space="preserve">   Encres d'imprimerie, même concentrées ou sous formes solides (à l'excl. des encres noires)</v>
      </c>
      <c r="C4288">
        <v>124615191</v>
      </c>
      <c r="D4288">
        <v>48067</v>
      </c>
    </row>
    <row r="4289" spans="1:4" x14ac:dyDescent="0.25">
      <c r="A4289" t="str">
        <f>T("   321590")</f>
        <v xml:space="preserve">   321590</v>
      </c>
      <c r="B4289" t="str">
        <f>T("   Encres à écrire et à dessiner, même concentrées ou sous formes solides")</f>
        <v xml:space="preserve">   Encres à écrire et à dessiner, même concentrées ou sous formes solides</v>
      </c>
      <c r="C4289">
        <v>58137493</v>
      </c>
      <c r="D4289">
        <v>10698</v>
      </c>
    </row>
    <row r="4290" spans="1:4" x14ac:dyDescent="0.25">
      <c r="A4290" t="str">
        <f>T("   330112")</f>
        <v xml:space="preserve">   330112</v>
      </c>
      <c r="B4290" t="str">
        <f>T("   Huiles essentielles d'orange, déterpénées ou non, y.c. celles dites 'concrètes' ou 'absolues' (à l'excl. des essences de fleurs d'oranger)")</f>
        <v xml:space="preserve">   Huiles essentielles d'orange, déterpénées ou non, y.c. celles dites 'concrètes' ou 'absolues' (à l'excl. des essences de fleurs d'oranger)</v>
      </c>
      <c r="C4290">
        <v>29738603</v>
      </c>
      <c r="D4290">
        <v>16216</v>
      </c>
    </row>
    <row r="4291" spans="1:4" x14ac:dyDescent="0.25">
      <c r="A4291" t="str">
        <f>T("   330119")</f>
        <v xml:space="preserve">   330119</v>
      </c>
      <c r="B4291" t="str">
        <f>T("   HUILES ESSENTIELLES D'AGRUMES, DÉTERPÉNÉES OU NON, Y.C. CELLES DITES 'CONCRÈTES' OU 'ABSOLUES' (À L'EXCL. DES HUILES ESSENTIELLES D'ORANGE, DE CITRONOU DE LIME)")</f>
        <v xml:space="preserve">   HUILES ESSENTIELLES D'AGRUMES, DÉTERPÉNÉES OU NON, Y.C. CELLES DITES 'CONCRÈTES' OU 'ABSOLUES' (À L'EXCL. DES HUILES ESSENTIELLES D'ORANGE, DE CITRONOU DE LIME)</v>
      </c>
      <c r="C4291">
        <v>2441522</v>
      </c>
      <c r="D4291">
        <v>530</v>
      </c>
    </row>
    <row r="4292" spans="1:4" x14ac:dyDescent="0.25">
      <c r="A4292" t="str">
        <f>T("   330123")</f>
        <v xml:space="preserve">   330123</v>
      </c>
      <c r="B4292" t="str">
        <f>T("   Huiles essentielles de lavande ou de lavandin, déterpénées ou non, y.c. celles dites 'concrètes' ou 'absolues'")</f>
        <v xml:space="preserve">   Huiles essentielles de lavande ou de lavandin, déterpénées ou non, y.c. celles dites 'concrètes' ou 'absolues'</v>
      </c>
      <c r="C4292">
        <v>602827</v>
      </c>
      <c r="D4292">
        <v>200</v>
      </c>
    </row>
    <row r="4293" spans="1:4" x14ac:dyDescent="0.25">
      <c r="A4293" t="str">
        <f>T("   330126")</f>
        <v xml:space="preserve">   330126</v>
      </c>
      <c r="B4293" t="str">
        <f>T("   Huiles essentielles de vétiver, déterpénées ou non, y.c. celles dites 'concrètes' ou 'absolues'")</f>
        <v xml:space="preserve">   Huiles essentielles de vétiver, déterpénées ou non, y.c. celles dites 'concrètes' ou 'absolues'</v>
      </c>
      <c r="C4293">
        <v>197201</v>
      </c>
      <c r="D4293">
        <v>124</v>
      </c>
    </row>
    <row r="4294" spans="1:4" x14ac:dyDescent="0.25">
      <c r="A4294" t="str">
        <f>T("   330129")</f>
        <v xml:space="preserve">   330129</v>
      </c>
      <c r="B4294" t="str">
        <f>T("   HUILES ESSENTIELLES, DÉTERPÉNÉES OU NON, Y.C. CELLES DITES 'CONCRÈTES' OU 'ABSOLUES' (À L'EXCL. DES HUILES ESSENTIELLES D'AGRUMES OU DE MENTHES)")</f>
        <v xml:space="preserve">   HUILES ESSENTIELLES, DÉTERPÉNÉES OU NON, Y.C. CELLES DITES 'CONCRÈTES' OU 'ABSOLUES' (À L'EXCL. DES HUILES ESSENTIELLES D'AGRUMES OU DE MENTHES)</v>
      </c>
      <c r="C4294">
        <v>2541845</v>
      </c>
      <c r="D4294">
        <v>1714</v>
      </c>
    </row>
    <row r="4295" spans="1:4" x14ac:dyDescent="0.25">
      <c r="A4295" t="str">
        <f>T("   330190")</f>
        <v xml:space="preserve">   330190</v>
      </c>
      <c r="B4295" t="s">
        <v>98</v>
      </c>
      <c r="C4295">
        <v>93803</v>
      </c>
      <c r="D4295">
        <v>9</v>
      </c>
    </row>
    <row r="4296" spans="1:4" x14ac:dyDescent="0.25">
      <c r="A4296" t="str">
        <f>T("   330210")</f>
        <v xml:space="preserve">   330210</v>
      </c>
      <c r="B4296" t="str">
        <f>T("   Mélanges de substances odoriférantes et mélanges, y.c. les solutions alcooliques, à base d'une ou de plusieurs de ces substances, des types utilisés comme matières de base pour les industries des produits alimentaires et des boissons")</f>
        <v xml:space="preserve">   Mélanges de substances odoriférantes et mélanges, y.c. les solutions alcooliques, à base d'une ou de plusieurs de ces substances, des types utilisés comme matières de base pour les industries des produits alimentaires et des boissons</v>
      </c>
      <c r="C4296">
        <v>878433585</v>
      </c>
      <c r="D4296">
        <v>116934</v>
      </c>
    </row>
    <row r="4297" spans="1:4" x14ac:dyDescent="0.25">
      <c r="A4297" t="str">
        <f>T("   330290")</f>
        <v xml:space="preserve">   330290</v>
      </c>
      <c r="B4297" t="s">
        <v>99</v>
      </c>
      <c r="C4297">
        <v>287311</v>
      </c>
      <c r="D4297">
        <v>38</v>
      </c>
    </row>
    <row r="4298" spans="1:4" x14ac:dyDescent="0.25">
      <c r="A4298" t="str">
        <f>T("   330300")</f>
        <v xml:space="preserve">   330300</v>
      </c>
      <c r="B4298" t="str">
        <f>T("   Parfums et eaux de toilette (à l'excl. des préparations pour l'après-rasage [lotions after-shave] et des désodorisants corporels)")</f>
        <v xml:space="preserve">   Parfums et eaux de toilette (à l'excl. des préparations pour l'après-rasage [lotions after-shave] et des désodorisants corporels)</v>
      </c>
      <c r="C4298">
        <v>234183205</v>
      </c>
      <c r="D4298">
        <v>21118</v>
      </c>
    </row>
    <row r="4299" spans="1:4" x14ac:dyDescent="0.25">
      <c r="A4299" t="str">
        <f>T("   330410")</f>
        <v xml:space="preserve">   330410</v>
      </c>
      <c r="B4299" t="str">
        <f>T("   Produits de maquillage pour les lèvres")</f>
        <v xml:space="preserve">   Produits de maquillage pour les lèvres</v>
      </c>
      <c r="C4299">
        <v>769854</v>
      </c>
      <c r="D4299">
        <v>233</v>
      </c>
    </row>
    <row r="4300" spans="1:4" x14ac:dyDescent="0.25">
      <c r="A4300" t="str">
        <f>T("   330420")</f>
        <v xml:space="preserve">   330420</v>
      </c>
      <c r="B4300" t="str">
        <f>T("   Produits de maquillage pour les yeux")</f>
        <v xml:space="preserve">   Produits de maquillage pour les yeux</v>
      </c>
      <c r="C4300">
        <v>1784212</v>
      </c>
      <c r="D4300">
        <v>717</v>
      </c>
    </row>
    <row r="4301" spans="1:4" x14ac:dyDescent="0.25">
      <c r="A4301" t="str">
        <f>T("   330491")</f>
        <v xml:space="preserve">   330491</v>
      </c>
      <c r="B4301" t="str">
        <f>T("   Poudres pour le maquillage ou l'entretien ou les soins de la peau, y.c. les poudres pour bébés et les poudres compactes (à l'excl. des médicaments)")</f>
        <v xml:space="preserve">   Poudres pour le maquillage ou l'entretien ou les soins de la peau, y.c. les poudres pour bébés et les poudres compactes (à l'excl. des médicaments)</v>
      </c>
      <c r="C4301">
        <v>120040</v>
      </c>
      <c r="D4301">
        <v>41</v>
      </c>
    </row>
    <row r="4302" spans="1:4" x14ac:dyDescent="0.25">
      <c r="A4302" t="str">
        <f>T("   330499")</f>
        <v xml:space="preserve">   330499</v>
      </c>
      <c r="B4302" t="s">
        <v>100</v>
      </c>
      <c r="C4302">
        <v>446641563</v>
      </c>
      <c r="D4302">
        <v>199879</v>
      </c>
    </row>
    <row r="4303" spans="1:4" x14ac:dyDescent="0.25">
      <c r="A4303" t="str">
        <f>T("   330510")</f>
        <v xml:space="preserve">   330510</v>
      </c>
      <c r="B4303" t="str">
        <f>T("   Shampooings")</f>
        <v xml:space="preserve">   Shampooings</v>
      </c>
      <c r="C4303">
        <v>2761987</v>
      </c>
      <c r="D4303">
        <v>7143</v>
      </c>
    </row>
    <row r="4304" spans="1:4" x14ac:dyDescent="0.25">
      <c r="A4304" t="str">
        <f>T("   330520")</f>
        <v xml:space="preserve">   330520</v>
      </c>
      <c r="B4304" t="str">
        <f>T("   Préparations pour l'ondulation ou le défrisage permanents")</f>
        <v xml:space="preserve">   Préparations pour l'ondulation ou le défrisage permanents</v>
      </c>
      <c r="C4304">
        <v>2968875</v>
      </c>
      <c r="D4304">
        <v>5703</v>
      </c>
    </row>
    <row r="4305" spans="1:4" x14ac:dyDescent="0.25">
      <c r="A4305" t="str">
        <f>T("   330590")</f>
        <v xml:space="preserve">   330590</v>
      </c>
      <c r="B4305" t="str">
        <f>T("   PRÉPARATIONS CAPILLAIRES (À L'EXCL. DES SHAMPOOINGS, DES LAQUES POUR CHEVEUX ET DES PRÉPARATIONS POUR L'ONDULATION OU LE DÉFRISAGE PERMANENTS)")</f>
        <v xml:space="preserve">   PRÉPARATIONS CAPILLAIRES (À L'EXCL. DES SHAMPOOINGS, DES LAQUES POUR CHEVEUX ET DES PRÉPARATIONS POUR L'ONDULATION OU LE DÉFRISAGE PERMANENTS)</v>
      </c>
      <c r="C4305">
        <v>34067102</v>
      </c>
      <c r="D4305">
        <v>13439</v>
      </c>
    </row>
    <row r="4306" spans="1:4" x14ac:dyDescent="0.25">
      <c r="A4306" t="str">
        <f>T("   330610")</f>
        <v xml:space="preserve">   330610</v>
      </c>
      <c r="B4306" t="str">
        <f>T("   Dentifrices, préparés, même des types utilisés par les dentistes")</f>
        <v xml:space="preserve">   Dentifrices, préparés, même des types utilisés par les dentistes</v>
      </c>
      <c r="C4306">
        <v>341667573</v>
      </c>
      <c r="D4306">
        <v>67714</v>
      </c>
    </row>
    <row r="4307" spans="1:4" x14ac:dyDescent="0.25">
      <c r="A4307" t="str">
        <f>T("   330690")</f>
        <v xml:space="preserve">   330690</v>
      </c>
      <c r="B4307" t="str">
        <f>T("   Préparations pour l'hygiène buccale ou dentaire, y.c. les poudres et crèmes pour faciliter l'adhérence des dentiers (à l'excl. des dentifrices et des fils utilisés pour nettoyer les espaces interdentaires [fils dentaires])")</f>
        <v xml:space="preserve">   Préparations pour l'hygiène buccale ou dentaire, y.c. les poudres et crèmes pour faciliter l'adhérence des dentiers (à l'excl. des dentifrices et des fils utilisés pour nettoyer les espaces interdentaires [fils dentaires])</v>
      </c>
      <c r="C4307">
        <v>3380792</v>
      </c>
      <c r="D4307">
        <v>682</v>
      </c>
    </row>
    <row r="4308" spans="1:4" x14ac:dyDescent="0.25">
      <c r="A4308" t="str">
        <f>T("   330710")</f>
        <v xml:space="preserve">   330710</v>
      </c>
      <c r="B4308" t="str">
        <f>T("   Préparations pour le prérasage, le rasage ou l'après-rasage")</f>
        <v xml:space="preserve">   Préparations pour le prérasage, le rasage ou l'après-rasage</v>
      </c>
      <c r="C4308">
        <v>7444490</v>
      </c>
      <c r="D4308">
        <v>2658</v>
      </c>
    </row>
    <row r="4309" spans="1:4" x14ac:dyDescent="0.25">
      <c r="A4309" t="str">
        <f>T("   330720")</f>
        <v xml:space="preserve">   330720</v>
      </c>
      <c r="B4309" t="str">
        <f>T("   Désodorisants corporels et antisudoraux, préparés")</f>
        <v xml:space="preserve">   Désodorisants corporels et antisudoraux, préparés</v>
      </c>
      <c r="C4309">
        <v>147277818</v>
      </c>
      <c r="D4309">
        <v>44678</v>
      </c>
    </row>
    <row r="4310" spans="1:4" x14ac:dyDescent="0.25">
      <c r="A4310" t="str">
        <f>T("   330730")</f>
        <v xml:space="preserve">   330730</v>
      </c>
      <c r="B4310" t="str">
        <f>T("   Sels parfumés et autres préparations pour bains")</f>
        <v xml:space="preserve">   Sels parfumés et autres préparations pour bains</v>
      </c>
      <c r="C4310">
        <v>3317191</v>
      </c>
      <c r="D4310">
        <v>2432</v>
      </c>
    </row>
    <row r="4311" spans="1:4" x14ac:dyDescent="0.25">
      <c r="A4311" t="str">
        <f>T("   330741")</f>
        <v xml:space="preserve">   330741</v>
      </c>
      <c r="B4311" t="str">
        <f>T("   'Agarbatti' et autres préparations odoriférantes agissant par combustion")</f>
        <v xml:space="preserve">   'Agarbatti' et autres préparations odoriférantes agissant par combustion</v>
      </c>
      <c r="C4311">
        <v>718932</v>
      </c>
      <c r="D4311">
        <v>150</v>
      </c>
    </row>
    <row r="4312" spans="1:4" x14ac:dyDescent="0.25">
      <c r="A4312" t="str">
        <f>T("   330749")</f>
        <v xml:space="preserve">   330749</v>
      </c>
      <c r="B4312" t="str">
        <f>T("   Préparations pour parfumer ou pour désodoriser les locaux, y.c. les préparations odoriférantes pour cérémonies religieuses (à l'excl. de l'agarbatti et des autres préparations odoriférantes agissant par combustion)")</f>
        <v xml:space="preserve">   Préparations pour parfumer ou pour désodoriser les locaux, y.c. les préparations odoriférantes pour cérémonies religieuses (à l'excl. de l'agarbatti et des autres préparations odoriférantes agissant par combustion)</v>
      </c>
      <c r="C4312">
        <v>27801921</v>
      </c>
      <c r="D4312">
        <v>32289</v>
      </c>
    </row>
    <row r="4313" spans="1:4" x14ac:dyDescent="0.25">
      <c r="A4313" t="str">
        <f>T("   330790")</f>
        <v xml:space="preserve">   330790</v>
      </c>
      <c r="B4313" t="str">
        <f>T("   Dépilatoires, autres produits de parfumerie ou de toilette préparés et autres préparations cosmétiques, n.d.a.")</f>
        <v xml:space="preserve">   Dépilatoires, autres produits de parfumerie ou de toilette préparés et autres préparations cosmétiques, n.d.a.</v>
      </c>
      <c r="C4313">
        <v>7898319</v>
      </c>
      <c r="D4313">
        <v>9059</v>
      </c>
    </row>
    <row r="4314" spans="1:4" x14ac:dyDescent="0.25">
      <c r="A4314" t="str">
        <f>T("   340111")</f>
        <v xml:space="preserve">   340111</v>
      </c>
      <c r="B4314" t="s">
        <v>101</v>
      </c>
      <c r="C4314">
        <v>132135885</v>
      </c>
      <c r="D4314">
        <v>80200</v>
      </c>
    </row>
    <row r="4315" spans="1:4" x14ac:dyDescent="0.25">
      <c r="A4315" t="str">
        <f>T("   340119")</f>
        <v xml:space="preserve">   340119</v>
      </c>
      <c r="B4315" t="s">
        <v>102</v>
      </c>
      <c r="C4315">
        <v>46746748</v>
      </c>
      <c r="D4315">
        <v>41514</v>
      </c>
    </row>
    <row r="4316" spans="1:4" x14ac:dyDescent="0.25">
      <c r="A4316" t="str">
        <f>T("   340120")</f>
        <v xml:space="preserve">   340120</v>
      </c>
      <c r="B4316" t="str">
        <f>T("   Savons en flocons, en paillettes, en granulés ou en poudres et savons liquides ou pâteux")</f>
        <v xml:space="preserve">   Savons en flocons, en paillettes, en granulés ou en poudres et savons liquides ou pâteux</v>
      </c>
      <c r="C4316">
        <v>10710514</v>
      </c>
      <c r="D4316">
        <v>8189</v>
      </c>
    </row>
    <row r="4317" spans="1:4" x14ac:dyDescent="0.25">
      <c r="A4317" t="str">
        <f>T("   340130")</f>
        <v xml:space="preserve">   340130</v>
      </c>
      <c r="B4317" t="str">
        <f>T("   Produits et préparations organiques tensio-actifs destinés au lavage de la peau, sous forme de liquide ou de crème, conditionnés pour la vente au détail, même contenant  du savon")</f>
        <v xml:space="preserve">   Produits et préparations organiques tensio-actifs destinés au lavage de la peau, sous forme de liquide ou de crème, conditionnés pour la vente au détail, même contenant  du savon</v>
      </c>
      <c r="C4317">
        <v>32618300</v>
      </c>
      <c r="D4317">
        <v>15535</v>
      </c>
    </row>
    <row r="4318" spans="1:4" x14ac:dyDescent="0.25">
      <c r="A4318" t="str">
        <f>T("   340213")</f>
        <v xml:space="preserve">   340213</v>
      </c>
      <c r="B4318" t="str">
        <f>T("   Agents de surface organiques, non ioniques, même conditionnés pour la vente au détail (à l'excl. des savons)")</f>
        <v xml:space="preserve">   Agents de surface organiques, non ioniques, même conditionnés pour la vente au détail (à l'excl. des savons)</v>
      </c>
      <c r="C4318">
        <v>3126305</v>
      </c>
      <c r="D4318">
        <v>4554</v>
      </c>
    </row>
    <row r="4319" spans="1:4" x14ac:dyDescent="0.25">
      <c r="A4319" t="str">
        <f>T("   340219")</f>
        <v xml:space="preserve">   340219</v>
      </c>
      <c r="B4319" t="str">
        <f>T("   Agents de surface organiques, même conditionnés pour la vente au détail (à l'excl. des savons et des agents de surface anioniques, cationiques ou non ioniques)")</f>
        <v xml:space="preserve">   Agents de surface organiques, même conditionnés pour la vente au détail (à l'excl. des savons et des agents de surface anioniques, cationiques ou non ioniques)</v>
      </c>
      <c r="C4319">
        <v>14847912</v>
      </c>
      <c r="D4319">
        <v>19619</v>
      </c>
    </row>
    <row r="4320" spans="1:4" x14ac:dyDescent="0.25">
      <c r="A4320" t="str">
        <f>T("   340220")</f>
        <v xml:space="preserve">   340220</v>
      </c>
      <c r="B4320" t="s">
        <v>103</v>
      </c>
      <c r="C4320">
        <v>136423716</v>
      </c>
      <c r="D4320">
        <v>178851</v>
      </c>
    </row>
    <row r="4321" spans="1:4" x14ac:dyDescent="0.25">
      <c r="A4321" t="str">
        <f>T("   340290")</f>
        <v xml:space="preserve">   340290</v>
      </c>
      <c r="B4321" t="s">
        <v>104</v>
      </c>
      <c r="C4321">
        <v>69243583</v>
      </c>
      <c r="D4321">
        <v>54195</v>
      </c>
    </row>
    <row r="4322" spans="1:4" x14ac:dyDescent="0.25">
      <c r="A4322" t="str">
        <f>T("   340319")</f>
        <v xml:space="preserve">   340319</v>
      </c>
      <c r="B4322" t="s">
        <v>105</v>
      </c>
      <c r="C4322">
        <v>34601622</v>
      </c>
      <c r="D4322">
        <v>23812</v>
      </c>
    </row>
    <row r="4323" spans="1:4" x14ac:dyDescent="0.25">
      <c r="A4323" t="str">
        <f>T("   340399")</f>
        <v xml:space="preserve">   340399</v>
      </c>
      <c r="B4323" t="s">
        <v>106</v>
      </c>
      <c r="C4323">
        <v>49133686</v>
      </c>
      <c r="D4323">
        <v>21719</v>
      </c>
    </row>
    <row r="4324" spans="1:4" x14ac:dyDescent="0.25">
      <c r="A4324" t="str">
        <f>T("   340420")</f>
        <v xml:space="preserve">   340420</v>
      </c>
      <c r="B4324" t="str">
        <f>T("   CIRES DE POLY'OXYÉTHYLÈNE' [POLYÉTHYLÈNE-GLYCOL]")</f>
        <v xml:space="preserve">   CIRES DE POLY'OXYÉTHYLÈNE' [POLYÉTHYLÈNE-GLYCOL]</v>
      </c>
      <c r="C4324">
        <v>14094613</v>
      </c>
      <c r="D4324">
        <v>16590</v>
      </c>
    </row>
    <row r="4325" spans="1:4" x14ac:dyDescent="0.25">
      <c r="A4325" t="str">
        <f>T("   340510")</f>
        <v xml:space="preserve">   340510</v>
      </c>
      <c r="B4325" t="s">
        <v>108</v>
      </c>
      <c r="C4325">
        <v>7831506</v>
      </c>
      <c r="D4325">
        <v>9931</v>
      </c>
    </row>
    <row r="4326" spans="1:4" x14ac:dyDescent="0.25">
      <c r="A4326" t="str">
        <f>T("   340520")</f>
        <v xml:space="preserve">   340520</v>
      </c>
      <c r="B4326" t="s">
        <v>109</v>
      </c>
      <c r="C4326">
        <v>7317891</v>
      </c>
      <c r="D4326">
        <v>1485</v>
      </c>
    </row>
    <row r="4327" spans="1:4" x14ac:dyDescent="0.25">
      <c r="A4327" t="str">
        <f>T("   340530")</f>
        <v xml:space="preserve">   340530</v>
      </c>
      <c r="B4327" t="s">
        <v>110</v>
      </c>
      <c r="C4327">
        <v>13559351</v>
      </c>
      <c r="D4327">
        <v>3637</v>
      </c>
    </row>
    <row r="4328" spans="1:4" x14ac:dyDescent="0.25">
      <c r="A4328" t="str">
        <f>T("   340540")</f>
        <v xml:space="preserve">   340540</v>
      </c>
      <c r="B4328" t="str">
        <f>T("   Pâtes, poudres et autres préparations à récurer, même sous forme de papier, ouates, feutres, nontissés, matière plastique ou caoutchouc alvéolaires, imprégnés, enduits ou recouverts de ces préparations")</f>
        <v xml:space="preserve">   Pâtes, poudres et autres préparations à récurer, même sous forme de papier, ouates, feutres, nontissés, matière plastique ou caoutchouc alvéolaires, imprégnés, enduits ou recouverts de ces préparations</v>
      </c>
      <c r="C4328">
        <v>6929785</v>
      </c>
      <c r="D4328">
        <v>13505</v>
      </c>
    </row>
    <row r="4329" spans="1:4" x14ac:dyDescent="0.25">
      <c r="A4329" t="str">
        <f>T("   340590")</f>
        <v xml:space="preserve">   340590</v>
      </c>
      <c r="B4329" t="str">
        <f>T("   Brillants pour verre ou métaux, même sous forme de papier, ouates, feutres, nontissés, matière plastique ou caoutchouc alvéolaires, imprégnés, enduits ou recouverts de ces préparations")</f>
        <v xml:space="preserve">   Brillants pour verre ou métaux, même sous forme de papier, ouates, feutres, nontissés, matière plastique ou caoutchouc alvéolaires, imprégnés, enduits ou recouverts de ces préparations</v>
      </c>
      <c r="C4329">
        <v>5281789</v>
      </c>
      <c r="D4329">
        <v>2314</v>
      </c>
    </row>
    <row r="4330" spans="1:4" x14ac:dyDescent="0.25">
      <c r="A4330" t="str">
        <f>T("   340600")</f>
        <v xml:space="preserve">   340600</v>
      </c>
      <c r="B4330" t="str">
        <f>T("   Bougies, chandelles, cierges et articles simil.")</f>
        <v xml:space="preserve">   Bougies, chandelles, cierges et articles simil.</v>
      </c>
      <c r="C4330">
        <v>23215884</v>
      </c>
      <c r="D4330">
        <v>17109.23</v>
      </c>
    </row>
    <row r="4331" spans="1:4" x14ac:dyDescent="0.25">
      <c r="A4331" t="str">
        <f>T("   350190")</f>
        <v xml:space="preserve">   350190</v>
      </c>
      <c r="B4331" t="str">
        <f>T("   Caséinates et autres dérivés des caséines; colles de caséine (à l'excl. des produits conditionnés pour la vente au détail comme colles et d'un poids net &lt;= 1 kg)")</f>
        <v xml:space="preserve">   Caséinates et autres dérivés des caséines; colles de caséine (à l'excl. des produits conditionnés pour la vente au détail comme colles et d'un poids net &lt;= 1 kg)</v>
      </c>
      <c r="C4331">
        <v>52347576</v>
      </c>
      <c r="D4331">
        <v>17580</v>
      </c>
    </row>
    <row r="4332" spans="1:4" x14ac:dyDescent="0.25">
      <c r="A4332" t="str">
        <f>T("   350510")</f>
        <v xml:space="preserve">   350510</v>
      </c>
      <c r="B4332" t="str">
        <f>T("   DEXTRINE ET AUTRES AMIDONS ET FÉCULES MODIFIÉS [LES AMIDONS ET FÉCULES PRÉ-GÉLATINISÉS OU ESTÉRIFIÉS, P.EX.]")</f>
        <v xml:space="preserve">   DEXTRINE ET AUTRES AMIDONS ET FÉCULES MODIFIÉS [LES AMIDONS ET FÉCULES PRÉ-GÉLATINISÉS OU ESTÉRIFIÉS, P.EX.]</v>
      </c>
      <c r="C4332">
        <v>557941</v>
      </c>
      <c r="D4332">
        <v>76</v>
      </c>
    </row>
    <row r="4333" spans="1:4" x14ac:dyDescent="0.25">
      <c r="A4333" t="str">
        <f>T("   350520")</f>
        <v xml:space="preserve">   350520</v>
      </c>
      <c r="B4333" t="str">
        <f>T("   Colles à base d'amidons ou de fécules, de dextrine ou d'autres amidons ou fécules modifiés (à l'excl. des produits conditionnés pour la vente au détail comme colles et d'un poids net &lt;= 1 kg)")</f>
        <v xml:space="preserve">   Colles à base d'amidons ou de fécules, de dextrine ou d'autres amidons ou fécules modifiés (à l'excl. des produits conditionnés pour la vente au détail comme colles et d'un poids net &lt;= 1 kg)</v>
      </c>
      <c r="C4333">
        <v>1381721</v>
      </c>
      <c r="D4333">
        <v>2466</v>
      </c>
    </row>
    <row r="4334" spans="1:4" x14ac:dyDescent="0.25">
      <c r="A4334" t="str">
        <f>T("   350610")</f>
        <v xml:space="preserve">   350610</v>
      </c>
      <c r="B4334" t="str">
        <f>T("   Produits de toute espèce à usage de colles ou d'adhésifs, conditionnés pour la vente au détail comme colles ou adhésifs, d'un poids net &lt;= 1 kg")</f>
        <v xml:space="preserve">   Produits de toute espèce à usage de colles ou d'adhésifs, conditionnés pour la vente au détail comme colles ou adhésifs, d'un poids net &lt;= 1 kg</v>
      </c>
      <c r="C4334">
        <v>13872919</v>
      </c>
      <c r="D4334">
        <v>4405</v>
      </c>
    </row>
    <row r="4335" spans="1:4" x14ac:dyDescent="0.25">
      <c r="A4335" t="str">
        <f>T("   350691")</f>
        <v xml:space="preserve">   350691</v>
      </c>
      <c r="B4335" t="str">
        <f>T("   Adhésifs à base de polymères du n° 3901 à 3913 ou de caoutchouc (à l'excl. des produits conditionnés pour la vente au détail comme colles ou adhésifs, d'un poids net &lt;= 1 kg)")</f>
        <v xml:space="preserve">   Adhésifs à base de polymères du n° 3901 à 3913 ou de caoutchouc (à l'excl. des produits conditionnés pour la vente au détail comme colles ou adhésifs, d'un poids net &lt;= 1 kg)</v>
      </c>
      <c r="C4335">
        <v>190768880</v>
      </c>
      <c r="D4335">
        <v>53039.73</v>
      </c>
    </row>
    <row r="4336" spans="1:4" x14ac:dyDescent="0.25">
      <c r="A4336" t="str">
        <f>T("   350699")</f>
        <v xml:space="preserve">   350699</v>
      </c>
      <c r="B4336" t="str">
        <f>T("   Colles et autres adhésifs préparés, n.d.a.")</f>
        <v xml:space="preserve">   Colles et autres adhésifs préparés, n.d.a.</v>
      </c>
      <c r="C4336">
        <v>62230006</v>
      </c>
      <c r="D4336">
        <v>20600</v>
      </c>
    </row>
    <row r="4337" spans="1:4" x14ac:dyDescent="0.25">
      <c r="A4337" t="str">
        <f>T("   350790")</f>
        <v xml:space="preserve">   350790</v>
      </c>
      <c r="B4337" t="str">
        <f>T("   Enzymes et enzymes préparées, n.d.a. (à l'excl. de la présure et de ses concentrats)")</f>
        <v xml:space="preserve">   Enzymes et enzymes préparées, n.d.a. (à l'excl. de la présure et de ses concentrats)</v>
      </c>
      <c r="C4337">
        <v>55371741</v>
      </c>
      <c r="D4337">
        <v>4590</v>
      </c>
    </row>
    <row r="4338" spans="1:4" x14ac:dyDescent="0.25">
      <c r="A4338" t="str">
        <f>T("   360200")</f>
        <v xml:space="preserve">   360200</v>
      </c>
      <c r="B4338" t="str">
        <f>T("   Explosifs préparés (à l'excl. des poudres propulsives)")</f>
        <v xml:space="preserve">   Explosifs préparés (à l'excl. des poudres propulsives)</v>
      </c>
      <c r="C4338">
        <v>9657043</v>
      </c>
      <c r="D4338">
        <v>33280</v>
      </c>
    </row>
    <row r="4339" spans="1:4" x14ac:dyDescent="0.25">
      <c r="A4339" t="str">
        <f>T("   360300")</f>
        <v xml:space="preserve">   360300</v>
      </c>
      <c r="B4339" t="str">
        <f>T("   Mèches de sûreté; cordeaux détonants; amorces et capsules fulminantes; allumeurs; détonateurs électriques (à l'excl. des fusées d'obus et des douilles, munies ou non de leurs amorces)")</f>
        <v xml:space="preserve">   Mèches de sûreté; cordeaux détonants; amorces et capsules fulminantes; allumeurs; détonateurs électriques (à l'excl. des fusées d'obus et des douilles, munies ou non de leurs amorces)</v>
      </c>
      <c r="C4339">
        <v>26364702</v>
      </c>
      <c r="D4339">
        <v>1045</v>
      </c>
    </row>
    <row r="4340" spans="1:4" x14ac:dyDescent="0.25">
      <c r="A4340" t="str">
        <f>T("   360500")</f>
        <v xml:space="preserve">   360500</v>
      </c>
      <c r="B4340" t="str">
        <f>T("   Allumettes (autres que les articles de pyrotechnie du n° 3604)")</f>
        <v xml:space="preserve">   Allumettes (autres que les articles de pyrotechnie du n° 3604)</v>
      </c>
      <c r="C4340">
        <v>5847228</v>
      </c>
      <c r="D4340">
        <v>347</v>
      </c>
    </row>
    <row r="4341" spans="1:4" x14ac:dyDescent="0.25">
      <c r="A4341" t="str">
        <f>T("   370191")</f>
        <v xml:space="preserve">   370191</v>
      </c>
      <c r="B4341" t="s">
        <v>112</v>
      </c>
      <c r="C4341">
        <v>4080727</v>
      </c>
      <c r="D4341">
        <v>1000</v>
      </c>
    </row>
    <row r="4342" spans="1:4" x14ac:dyDescent="0.25">
      <c r="A4342" t="str">
        <f>T("   370320")</f>
        <v xml:space="preserve">   370320</v>
      </c>
      <c r="B4342" t="str">
        <f>T("   PAPIERS, CARTONS ET TEXTILES, PHOTOGRAPHIQUES, SENSIBILISÉS, NON-IMPRESSIONNÉS, POUR LA PHOTOGRAPHIE EN COULEURS [POLYCHROME] (À L'EXCL. DES PRODUITS EN ROULEAUX D'UNE LARGEUR &gt; 610 MM)")</f>
        <v xml:space="preserve">   PAPIERS, CARTONS ET TEXTILES, PHOTOGRAPHIQUES, SENSIBILISÉS, NON-IMPRESSIONNÉS, POUR LA PHOTOGRAPHIE EN COULEURS [POLYCHROME] (À L'EXCL. DES PRODUITS EN ROULEAUX D'UNE LARGEUR &gt; 610 MM)</v>
      </c>
      <c r="C4342">
        <v>30521770</v>
      </c>
      <c r="D4342">
        <v>38673</v>
      </c>
    </row>
    <row r="4343" spans="1:4" x14ac:dyDescent="0.25">
      <c r="A4343" t="str">
        <f>T("   370390")</f>
        <v xml:space="preserve">   370390</v>
      </c>
      <c r="B4343" t="str">
        <f>T("   PAPIERS, CARTONS ET TEXTILES, PHOTOGRAPHIQUES, SENSIBILISÉS, NON-IMPRESSIONNÉS, POUR LA PHOTOGRAPHIE EN MONOCHROME (À L'EXCL. DES PRODUITS EN ROULEAUX D'UNE LARGEUR &gt; 610 MM)")</f>
        <v xml:space="preserve">   PAPIERS, CARTONS ET TEXTILES, PHOTOGRAPHIQUES, SENSIBILISÉS, NON-IMPRESSIONNÉS, POUR LA PHOTOGRAPHIE EN MONOCHROME (À L'EXCL. DES PRODUITS EN ROULEAUX D'UNE LARGEUR &gt; 610 MM)</v>
      </c>
      <c r="C4343">
        <v>5081110</v>
      </c>
      <c r="D4343">
        <v>17470</v>
      </c>
    </row>
    <row r="4344" spans="1:4" x14ac:dyDescent="0.25">
      <c r="A4344" t="str">
        <f>T("   370400")</f>
        <v xml:space="preserve">   370400</v>
      </c>
      <c r="B4344" t="str">
        <f>T("   PLAQUES, PELLICULES, FILMS, PAPIERS, CARTONS ET TEXTILES, PHOTOGRAPHIQUES, IMPRESSIONNÉS MAIS NON-DÉVELOPPÉS")</f>
        <v xml:space="preserve">   PLAQUES, PELLICULES, FILMS, PAPIERS, CARTONS ET TEXTILES, PHOTOGRAPHIQUES, IMPRESSIONNÉS MAIS NON-DÉVELOPPÉS</v>
      </c>
      <c r="C4344">
        <v>905225</v>
      </c>
      <c r="D4344">
        <v>121</v>
      </c>
    </row>
    <row r="4345" spans="1:4" x14ac:dyDescent="0.25">
      <c r="A4345" t="str">
        <f>T("   370510")</f>
        <v xml:space="preserve">   370510</v>
      </c>
      <c r="B4345" t="str">
        <f>T("   Plaques et pellicules, photographiques, impressionnées et développées, pour la reproduction offset (à l'excl. des plaques prêtes à l'emploi ainsi que des produits en papier, en carton ou en matières textiles)")</f>
        <v xml:space="preserve">   Plaques et pellicules, photographiques, impressionnées et développées, pour la reproduction offset (à l'excl. des plaques prêtes à l'emploi ainsi que des produits en papier, en carton ou en matières textiles)</v>
      </c>
      <c r="C4345">
        <v>9366374</v>
      </c>
      <c r="D4345">
        <v>2400</v>
      </c>
    </row>
    <row r="4346" spans="1:4" x14ac:dyDescent="0.25">
      <c r="A4346" t="str">
        <f>T("   370790")</f>
        <v xml:space="preserve">   370790</v>
      </c>
      <c r="B4346" t="s">
        <v>117</v>
      </c>
      <c r="C4346">
        <v>28327425</v>
      </c>
      <c r="D4346">
        <v>15929</v>
      </c>
    </row>
    <row r="4347" spans="1:4" x14ac:dyDescent="0.25">
      <c r="A4347" t="str">
        <f>T("   380290")</f>
        <v xml:space="preserve">   380290</v>
      </c>
      <c r="B4347" t="str">
        <f>T("   Kieselguhr activé, autres matières minérales naturelles activées et noirs d'origine animale, y.c. le noir animal épuisé (à l'excl. des charbons activés, des produits chimiques activés ainsi que de la diatomite calcinée sans agents frittants)")</f>
        <v xml:space="preserve">   Kieselguhr activé, autres matières minérales naturelles activées et noirs d'origine animale, y.c. le noir animal épuisé (à l'excl. des charbons activés, des produits chimiques activés ainsi que de la diatomite calcinée sans agents frittants)</v>
      </c>
      <c r="C4347">
        <v>29985899</v>
      </c>
      <c r="D4347">
        <v>3054</v>
      </c>
    </row>
    <row r="4348" spans="1:4" x14ac:dyDescent="0.25">
      <c r="A4348" t="str">
        <f>T("   380510")</f>
        <v xml:space="preserve">   380510</v>
      </c>
      <c r="B4348" t="str">
        <f>T("   Essences de térébenthine, de bois de pin ou de papeterie au sulfate")</f>
        <v xml:space="preserve">   Essences de térébenthine, de bois de pin ou de papeterie au sulfate</v>
      </c>
      <c r="C4348">
        <v>104954</v>
      </c>
      <c r="D4348">
        <v>33</v>
      </c>
    </row>
    <row r="4349" spans="1:4" x14ac:dyDescent="0.25">
      <c r="A4349" t="str">
        <f>T("   380630")</f>
        <v xml:space="preserve">   380630</v>
      </c>
      <c r="B4349" t="str">
        <f>T("   Gommes esters")</f>
        <v xml:space="preserve">   Gommes esters</v>
      </c>
      <c r="C4349">
        <v>1203030</v>
      </c>
      <c r="D4349">
        <v>200</v>
      </c>
    </row>
    <row r="4350" spans="1:4" x14ac:dyDescent="0.25">
      <c r="A4350" t="str">
        <f>T("   380810")</f>
        <v xml:space="preserve">   380810</v>
      </c>
      <c r="B4350" t="str">
        <f>T("   Insecticides présentés dans des formes ou emballages de vente au détail ou à l'état de préparations ou sous forme d'articles")</f>
        <v xml:space="preserve">   Insecticides présentés dans des formes ou emballages de vente au détail ou à l'état de préparations ou sous forme d'articles</v>
      </c>
      <c r="C4350">
        <v>10741347</v>
      </c>
      <c r="D4350">
        <v>5300</v>
      </c>
    </row>
    <row r="4351" spans="1:4" x14ac:dyDescent="0.25">
      <c r="A4351" t="str">
        <f>T("   380840")</f>
        <v xml:space="preserve">   380840</v>
      </c>
      <c r="B4351" t="str">
        <f>T("   Désinfectants et produits simil., présentés dans des formes ou emballages de vente au détail ou à l'état de préparations ou sous forme d'articles")</f>
        <v xml:space="preserve">   Désinfectants et produits simil., présentés dans des formes ou emballages de vente au détail ou à l'état de préparations ou sous forme d'articles</v>
      </c>
      <c r="C4351">
        <v>101676324</v>
      </c>
      <c r="D4351">
        <v>43012</v>
      </c>
    </row>
    <row r="4352" spans="1:4" x14ac:dyDescent="0.25">
      <c r="A4352" t="str">
        <f>T("   380890")</f>
        <v xml:space="preserve">   380890</v>
      </c>
      <c r="B4352" t="str">
        <f>T("   Antirongeurs et autres produits phytosanitaires, présentés dans des formes ou emballages de vente au détail ou à l'état de préparations ou sous forme d'articles (à l'excl. des insecticides, des fongicides, des herbicides et des désinfectants)")</f>
        <v xml:space="preserve">   Antirongeurs et autres produits phytosanitaires, présentés dans des formes ou emballages de vente au détail ou à l'état de préparations ou sous forme d'articles (à l'excl. des insecticides, des fongicides, des herbicides et des désinfectants)</v>
      </c>
      <c r="C4352">
        <v>47095308</v>
      </c>
      <c r="D4352">
        <v>18844</v>
      </c>
    </row>
    <row r="4353" spans="1:4" x14ac:dyDescent="0.25">
      <c r="A4353" t="str">
        <f>T("   380991")</f>
        <v xml:space="preserve">   380991</v>
      </c>
      <c r="B4353" t="s">
        <v>120</v>
      </c>
      <c r="C4353">
        <v>6797507</v>
      </c>
      <c r="D4353">
        <v>7574.82</v>
      </c>
    </row>
    <row r="4354" spans="1:4" x14ac:dyDescent="0.25">
      <c r="A4354" t="str">
        <f>T("   381010")</f>
        <v xml:space="preserve">   381010</v>
      </c>
      <c r="B4354" t="str">
        <f>T("   Préparations pour le décapage des métaux; pâtes et poudres à souder ou à braser composées de métal et d'autres produits")</f>
        <v xml:space="preserve">   Préparations pour le décapage des métaux; pâtes et poudres à souder ou à braser composées de métal et d'autres produits</v>
      </c>
      <c r="C4354">
        <v>129880</v>
      </c>
      <c r="D4354">
        <v>18</v>
      </c>
    </row>
    <row r="4355" spans="1:4" x14ac:dyDescent="0.25">
      <c r="A4355" t="str">
        <f>T("   381090")</f>
        <v xml:space="preserve">   381090</v>
      </c>
      <c r="B4355" t="s">
        <v>122</v>
      </c>
      <c r="C4355">
        <v>106266</v>
      </c>
      <c r="D4355">
        <v>36</v>
      </c>
    </row>
    <row r="4356" spans="1:4" x14ac:dyDescent="0.25">
      <c r="A4356" t="str">
        <f>T("   381119")</f>
        <v xml:space="preserve">   381119</v>
      </c>
      <c r="B4356" t="str">
        <f>T("   Préparations antidétonantes pour essences (à l'excl. des préparations à base de composés du plomb)")</f>
        <v xml:space="preserve">   Préparations antidétonantes pour essences (à l'excl. des préparations à base de composés du plomb)</v>
      </c>
      <c r="C4356">
        <v>3398528</v>
      </c>
      <c r="D4356">
        <v>788</v>
      </c>
    </row>
    <row r="4357" spans="1:4" x14ac:dyDescent="0.25">
      <c r="A4357" t="str">
        <f>T("   381121")</f>
        <v xml:space="preserve">   381121</v>
      </c>
      <c r="B4357" t="str">
        <f>T("   Additifs préparés pour huiles lubrifiantes, contenant des huiles de pétrole ou de minéraux bitumineux")</f>
        <v xml:space="preserve">   Additifs préparés pour huiles lubrifiantes, contenant des huiles de pétrole ou de minéraux bitumineux</v>
      </c>
      <c r="C4357">
        <v>45261</v>
      </c>
      <c r="D4357">
        <v>24</v>
      </c>
    </row>
    <row r="4358" spans="1:4" x14ac:dyDescent="0.25">
      <c r="A4358" t="str">
        <f>T("   381129")</f>
        <v xml:space="preserve">   381129</v>
      </c>
      <c r="B4358" t="str">
        <f>T("   Additifs préparés pour huiles lubrifiantes, ne contenant pas d'huiles de pétrole ou de minéraux bitumineux")</f>
        <v xml:space="preserve">   Additifs préparés pour huiles lubrifiantes, ne contenant pas d'huiles de pétrole ou de minéraux bitumineux</v>
      </c>
      <c r="C4358">
        <v>257792</v>
      </c>
      <c r="D4358">
        <v>106</v>
      </c>
    </row>
    <row r="4359" spans="1:4" x14ac:dyDescent="0.25">
      <c r="A4359" t="str">
        <f>T("   381190")</f>
        <v xml:space="preserve">   381190</v>
      </c>
      <c r="B4359" t="s">
        <v>123</v>
      </c>
      <c r="C4359">
        <v>8878062</v>
      </c>
      <c r="D4359">
        <v>2470</v>
      </c>
    </row>
    <row r="4360" spans="1:4" x14ac:dyDescent="0.25">
      <c r="A4360" t="str">
        <f>T("   381220")</f>
        <v xml:space="preserve">   381220</v>
      </c>
      <c r="B4360" t="str">
        <f>T("   Plastifiants composites pour caoutchouc ou matières plastiques, n.d.a.")</f>
        <v xml:space="preserve">   Plastifiants composites pour caoutchouc ou matières plastiques, n.d.a.</v>
      </c>
      <c r="C4360">
        <v>34275878</v>
      </c>
      <c r="D4360">
        <v>66000</v>
      </c>
    </row>
    <row r="4361" spans="1:4" x14ac:dyDescent="0.25">
      <c r="A4361" t="str">
        <f>T("   381230")</f>
        <v xml:space="preserve">   381230</v>
      </c>
      <c r="B4361" t="str">
        <f>T("   Préparations antioxydantes et autres stabilisateurs composites pour caoutchouc ou matières plastiques")</f>
        <v xml:space="preserve">   Préparations antioxydantes et autres stabilisateurs composites pour caoutchouc ou matières plastiques</v>
      </c>
      <c r="C4361">
        <v>20719904</v>
      </c>
      <c r="D4361">
        <v>16510</v>
      </c>
    </row>
    <row r="4362" spans="1:4" x14ac:dyDescent="0.25">
      <c r="A4362" t="str">
        <f>T("   381400")</f>
        <v xml:space="preserve">   381400</v>
      </c>
      <c r="B4362" t="str">
        <f>T("   Solvants et diluants organiques composites, n.d.a.; préparations conçues pour enlever les peintures ou les vernis (à l'excl. des dissolvants pour vernis à ongles)")</f>
        <v xml:space="preserve">   Solvants et diluants organiques composites, n.d.a.; préparations conçues pour enlever les peintures ou les vernis (à l'excl. des dissolvants pour vernis à ongles)</v>
      </c>
      <c r="C4362">
        <v>2799899</v>
      </c>
      <c r="D4362">
        <v>618</v>
      </c>
    </row>
    <row r="4363" spans="1:4" x14ac:dyDescent="0.25">
      <c r="A4363" t="str">
        <f>T("   381600")</f>
        <v xml:space="preserve">   381600</v>
      </c>
      <c r="B4363" t="str">
        <f>T("   Ciments, mortiers, bétons et compositions simil. réfractaires (à l'excl. des préparations à base de graphite ou d'autre carbone)")</f>
        <v xml:space="preserve">   Ciments, mortiers, bétons et compositions simil. réfractaires (à l'excl. des préparations à base de graphite ou d'autre carbone)</v>
      </c>
      <c r="C4363">
        <v>3431117</v>
      </c>
      <c r="D4363">
        <v>7250</v>
      </c>
    </row>
    <row r="4364" spans="1:4" x14ac:dyDescent="0.25">
      <c r="A4364" t="str">
        <f>T("   381800")</f>
        <v xml:space="preserve">   381800</v>
      </c>
      <c r="B4364" t="s">
        <v>124</v>
      </c>
      <c r="C4364">
        <v>185637</v>
      </c>
      <c r="D4364">
        <v>72</v>
      </c>
    </row>
    <row r="4365" spans="1:4" x14ac:dyDescent="0.25">
      <c r="A4365" t="str">
        <f>T("   381900")</f>
        <v xml:space="preserve">   381900</v>
      </c>
      <c r="B4365" t="str">
        <f>T("   Liquides pour freins hydrauliques et autres liquides préparés pour transmissions hydrauliques, ne contenant ni huiles de pétrole ni huiles de minéraux bitumineux ou en contenant &lt; 70% en poids")</f>
        <v xml:space="preserve">   Liquides pour freins hydrauliques et autres liquides préparés pour transmissions hydrauliques, ne contenant ni huiles de pétrole ni huiles de minéraux bitumineux ou en contenant &lt; 70% en poids</v>
      </c>
      <c r="C4365">
        <v>3184030</v>
      </c>
      <c r="D4365">
        <v>190</v>
      </c>
    </row>
    <row r="4366" spans="1:4" x14ac:dyDescent="0.25">
      <c r="A4366" t="str">
        <f>T("   382000")</f>
        <v xml:space="preserve">   382000</v>
      </c>
      <c r="B4366" t="str">
        <f>T("   Préparations antigel et liquides préparés pour dégivrage (à l'excl. des additifs préparés pour huiles minérales ou pour autres liquides utilisés aux mêmes fins que les huiles minérales)")</f>
        <v xml:space="preserve">   Préparations antigel et liquides préparés pour dégivrage (à l'excl. des additifs préparés pour huiles minérales ou pour autres liquides utilisés aux mêmes fins que les huiles minérales)</v>
      </c>
      <c r="C4366">
        <v>7308392</v>
      </c>
      <c r="D4366">
        <v>13245</v>
      </c>
    </row>
    <row r="4367" spans="1:4" x14ac:dyDescent="0.25">
      <c r="A4367" t="str">
        <f>T("   382100")</f>
        <v xml:space="preserve">   382100</v>
      </c>
      <c r="B4367" t="str">
        <f>T("   Milieux de culture préparés pour le développement des micro-organismes")</f>
        <v xml:space="preserve">   Milieux de culture préparés pour le développement des micro-organismes</v>
      </c>
      <c r="C4367">
        <v>20089083</v>
      </c>
      <c r="D4367">
        <v>368</v>
      </c>
    </row>
    <row r="4368" spans="1:4" x14ac:dyDescent="0.25">
      <c r="A4368" t="str">
        <f>T("   382200")</f>
        <v xml:space="preserve">   382200</v>
      </c>
      <c r="B4368" t="s">
        <v>125</v>
      </c>
      <c r="C4368">
        <v>53939394</v>
      </c>
      <c r="D4368">
        <v>6449</v>
      </c>
    </row>
    <row r="4369" spans="1:4" x14ac:dyDescent="0.25">
      <c r="A4369" t="str">
        <f>T("   382440")</f>
        <v xml:space="preserve">   382440</v>
      </c>
      <c r="B4369" t="str">
        <f>T("   Additifs préparés pour ciments, mortiers ou bétons")</f>
        <v xml:space="preserve">   Additifs préparés pour ciments, mortiers ou bétons</v>
      </c>
      <c r="C4369">
        <v>48510801</v>
      </c>
      <c r="D4369">
        <v>61606</v>
      </c>
    </row>
    <row r="4370" spans="1:4" x14ac:dyDescent="0.25">
      <c r="A4370" t="str">
        <f>T("   382450")</f>
        <v xml:space="preserve">   382450</v>
      </c>
      <c r="B4370" t="str">
        <f>T("   MORTIERS ET BÉTONS, NON-RÉFRACTAIRES")</f>
        <v xml:space="preserve">   MORTIERS ET BÉTONS, NON-RÉFRACTAIRES</v>
      </c>
      <c r="C4370">
        <v>8110572</v>
      </c>
      <c r="D4370">
        <v>3782</v>
      </c>
    </row>
    <row r="4371" spans="1:4" x14ac:dyDescent="0.25">
      <c r="A4371" t="str">
        <f>T("   382479")</f>
        <v xml:space="preserve">   382479</v>
      </c>
      <c r="B4371" t="str">
        <f>T("   Mélanges contenant des dérivés perhalogènes des hydrocarbures acycliques comportant au moins deux halogènes différents (sauf uniquement avec du fluor et du chlore)")</f>
        <v xml:space="preserve">   Mélanges contenant des dérivés perhalogènes des hydrocarbures acycliques comportant au moins deux halogènes différents (sauf uniquement avec du fluor et du chlore)</v>
      </c>
      <c r="C4371">
        <v>1889578</v>
      </c>
      <c r="D4371">
        <v>1113</v>
      </c>
    </row>
    <row r="4372" spans="1:4" x14ac:dyDescent="0.25">
      <c r="A4372" t="str">
        <f>T("   382490")</f>
        <v xml:space="preserve">   382490</v>
      </c>
      <c r="B4372" t="str">
        <f>T("   Produits chimiques et préparations des industries chimiques ou des industries connexes, y.c. celles consistant en mélanges de produits naturels, n.d.a.")</f>
        <v xml:space="preserve">   Produits chimiques et préparations des industries chimiques ou des industries connexes, y.c. celles consistant en mélanges de produits naturels, n.d.a.</v>
      </c>
      <c r="C4372">
        <v>109857080</v>
      </c>
      <c r="D4372">
        <v>38444</v>
      </c>
    </row>
    <row r="4373" spans="1:4" x14ac:dyDescent="0.25">
      <c r="A4373" t="str">
        <f>T("   390110")</f>
        <v xml:space="preserve">   390110</v>
      </c>
      <c r="B4373" t="str">
        <f>T("   Polyéthylène d'une densité &lt; 0,94, sous formes primaires")</f>
        <v xml:space="preserve">   Polyéthylène d'une densité &lt; 0,94, sous formes primaires</v>
      </c>
      <c r="C4373">
        <v>129979956</v>
      </c>
      <c r="D4373">
        <v>153234</v>
      </c>
    </row>
    <row r="4374" spans="1:4" x14ac:dyDescent="0.25">
      <c r="A4374" t="str">
        <f>T("   390120")</f>
        <v xml:space="preserve">   390120</v>
      </c>
      <c r="B4374" t="str">
        <f>T("   Polyéthylène d'une densité &gt;= 0,94, sous formes primaires")</f>
        <v xml:space="preserve">   Polyéthylène d'une densité &gt;= 0,94, sous formes primaires</v>
      </c>
      <c r="C4374">
        <v>61763081</v>
      </c>
      <c r="D4374">
        <v>86485</v>
      </c>
    </row>
    <row r="4375" spans="1:4" x14ac:dyDescent="0.25">
      <c r="A4375" t="str">
        <f>T("   390190")</f>
        <v xml:space="preserve">   390190</v>
      </c>
      <c r="B4375" t="str">
        <f>T("   Polymères de l'éthylène, sous formes primaires (à l'excl. du polyéthylène ainsi que des copolymères d'éthylène et d'acétate de vinyle)")</f>
        <v xml:space="preserve">   Polymères de l'éthylène, sous formes primaires (à l'excl. du polyéthylène ainsi que des copolymères d'éthylène et d'acétate de vinyle)</v>
      </c>
      <c r="C4375">
        <v>237683885</v>
      </c>
      <c r="D4375">
        <v>356180</v>
      </c>
    </row>
    <row r="4376" spans="1:4" x14ac:dyDescent="0.25">
      <c r="A4376" t="str">
        <f>T("   390210")</f>
        <v xml:space="preserve">   390210</v>
      </c>
      <c r="B4376" t="str">
        <f>T("   Polypropylène, sous formes primaires")</f>
        <v xml:space="preserve">   Polypropylène, sous formes primaires</v>
      </c>
      <c r="C4376">
        <v>65376418</v>
      </c>
      <c r="D4376">
        <v>85000</v>
      </c>
    </row>
    <row r="4377" spans="1:4" x14ac:dyDescent="0.25">
      <c r="A4377" t="str">
        <f>T("   390230")</f>
        <v xml:space="preserve">   390230</v>
      </c>
      <c r="B4377" t="str">
        <f>T("   Copolymères de propylène, sous formes primaires")</f>
        <v xml:space="preserve">   Copolymères de propylène, sous formes primaires</v>
      </c>
      <c r="C4377">
        <v>27137721</v>
      </c>
      <c r="D4377">
        <v>25278</v>
      </c>
    </row>
    <row r="4378" spans="1:4" x14ac:dyDescent="0.25">
      <c r="A4378" t="str">
        <f>T("   390319")</f>
        <v xml:space="preserve">   390319</v>
      </c>
      <c r="B4378" t="str">
        <f>T("   Polystyrène sous formes primaires (à l'excl. du polystyrène expansible)")</f>
        <v xml:space="preserve">   Polystyrène sous formes primaires (à l'excl. du polystyrène expansible)</v>
      </c>
      <c r="C4378">
        <v>27810689</v>
      </c>
      <c r="D4378">
        <v>24832</v>
      </c>
    </row>
    <row r="4379" spans="1:4" x14ac:dyDescent="0.25">
      <c r="A4379" t="str">
        <f>T("   390390")</f>
        <v xml:space="preserve">   390390</v>
      </c>
      <c r="B4379" t="str">
        <f>T("   Polymères du styrène, sous formes primaires (à l'excl. du polystyrène ainsi que des copolymères de styrène-acrylonitrile [SAN] ou d'acrylonitrile-butadiène-styrène [ABS])")</f>
        <v xml:space="preserve">   Polymères du styrène, sous formes primaires (à l'excl. du polystyrène ainsi que des copolymères de styrène-acrylonitrile [SAN] ou d'acrylonitrile-butadiène-styrène [ABS])</v>
      </c>
      <c r="C4379">
        <v>107692234</v>
      </c>
      <c r="D4379">
        <v>91274</v>
      </c>
    </row>
    <row r="4380" spans="1:4" x14ac:dyDescent="0.25">
      <c r="A4380" t="str">
        <f>T("   390410")</f>
        <v xml:space="preserve">   390410</v>
      </c>
      <c r="B4380" t="str">
        <f>T("   Poly[chlorure de vinyle], sous formes primaires, non mélangé à d'autres substances")</f>
        <v xml:space="preserve">   Poly[chlorure de vinyle], sous formes primaires, non mélangé à d'autres substances</v>
      </c>
      <c r="C4380">
        <v>30239756</v>
      </c>
      <c r="D4380">
        <v>40000</v>
      </c>
    </row>
    <row r="4381" spans="1:4" x14ac:dyDescent="0.25">
      <c r="A4381" t="str">
        <f>T("   390490")</f>
        <v xml:space="preserve">   390490</v>
      </c>
      <c r="B4381" t="str">
        <f>T("   Polymères du chlorure de vinyle ou d'autres oléfines halogénées, sous formes primaires (à l'excl. du poly[chlorure de vinyle], des copolymères du chlorure de vinyle, des polymères du chlorure de vinylidène ainsi que des polymères fluorés)")</f>
        <v xml:space="preserve">   Polymères du chlorure de vinyle ou d'autres oléfines halogénées, sous formes primaires (à l'excl. du poly[chlorure de vinyle], des copolymères du chlorure de vinyle, des polymères du chlorure de vinylidène ainsi que des polymères fluorés)</v>
      </c>
      <c r="C4381">
        <v>137820476</v>
      </c>
      <c r="D4381">
        <v>298086</v>
      </c>
    </row>
    <row r="4382" spans="1:4" x14ac:dyDescent="0.25">
      <c r="A4382" t="str">
        <f>T("   390521")</f>
        <v xml:space="preserve">   390521</v>
      </c>
      <c r="B4382" t="str">
        <f>T("   Copolymères d'acétate de vinyle, en dispersion aqueuse")</f>
        <v xml:space="preserve">   Copolymères d'acétate de vinyle, en dispersion aqueuse</v>
      </c>
      <c r="C4382">
        <v>111733057</v>
      </c>
      <c r="D4382">
        <v>123663</v>
      </c>
    </row>
    <row r="4383" spans="1:4" x14ac:dyDescent="0.25">
      <c r="A4383" t="str">
        <f>T("   390599")</f>
        <v xml:space="preserve">   390599</v>
      </c>
      <c r="B4383" t="s">
        <v>126</v>
      </c>
      <c r="C4383">
        <v>980005</v>
      </c>
      <c r="D4383">
        <v>120</v>
      </c>
    </row>
    <row r="4384" spans="1:4" x14ac:dyDescent="0.25">
      <c r="A4384" t="str">
        <f>T("   390690")</f>
        <v xml:space="preserve">   390690</v>
      </c>
      <c r="B4384" t="str">
        <f>T("   Polymères acryliques, sous formes primaires (à l'excl. du poly[méthacrylate de méthyle])")</f>
        <v xml:space="preserve">   Polymères acryliques, sous formes primaires (à l'excl. du poly[méthacrylate de méthyle])</v>
      </c>
      <c r="C4384">
        <v>14749799</v>
      </c>
      <c r="D4384">
        <v>8286</v>
      </c>
    </row>
    <row r="4385" spans="1:4" x14ac:dyDescent="0.25">
      <c r="A4385" t="str">
        <f>T("   390720")</f>
        <v xml:space="preserve">   390720</v>
      </c>
      <c r="B4385" t="str">
        <f>T("   Polyéthers, sous formes primaires (à l'excl. des polyacétals)")</f>
        <v xml:space="preserve">   Polyéthers, sous formes primaires (à l'excl. des polyacétals)</v>
      </c>
      <c r="C4385">
        <v>405669278</v>
      </c>
      <c r="D4385">
        <v>315370</v>
      </c>
    </row>
    <row r="4386" spans="1:4" x14ac:dyDescent="0.25">
      <c r="A4386" t="str">
        <f>T("   390730")</f>
        <v xml:space="preserve">   390730</v>
      </c>
      <c r="B4386" t="str">
        <f>T("   Résines époxydes, sous formes primaires")</f>
        <v xml:space="preserve">   Résines époxydes, sous formes primaires</v>
      </c>
      <c r="C4386">
        <v>10403374</v>
      </c>
      <c r="D4386">
        <v>3275</v>
      </c>
    </row>
    <row r="4387" spans="1:4" x14ac:dyDescent="0.25">
      <c r="A4387" t="str">
        <f>T("   390750")</f>
        <v xml:space="preserve">   390750</v>
      </c>
      <c r="B4387" t="str">
        <f>T("   Résines alkydes, sous formes primaires")</f>
        <v xml:space="preserve">   Résines alkydes, sous formes primaires</v>
      </c>
      <c r="C4387">
        <v>187598927</v>
      </c>
      <c r="D4387">
        <v>402116</v>
      </c>
    </row>
    <row r="4388" spans="1:4" x14ac:dyDescent="0.25">
      <c r="A4388" t="str">
        <f>T("   390791")</f>
        <v xml:space="preserve">   390791</v>
      </c>
      <c r="B4388" t="str">
        <f>T("   POLYESTERS ALLYLIQUES ET AUTRES POLYESTERS, NON-SATURÉS, SOUS FORMES PRIMAIRES (À L'EXCL. DES POLYCARBONATES, DES RÉSINES ALKYDES, DU POLY[ÉTHYLÈNE TÉRÉPHTALATE] ET DU POLY[ACIDE LACTIQUE])")</f>
        <v xml:space="preserve">   POLYESTERS ALLYLIQUES ET AUTRES POLYESTERS, NON-SATURÉS, SOUS FORMES PRIMAIRES (À L'EXCL. DES POLYCARBONATES, DES RÉSINES ALKYDES, DU POLY[ÉTHYLÈNE TÉRÉPHTALATE] ET DU POLY[ACIDE LACTIQUE])</v>
      </c>
      <c r="C4388">
        <v>236146</v>
      </c>
      <c r="D4388">
        <v>25</v>
      </c>
    </row>
    <row r="4389" spans="1:4" x14ac:dyDescent="0.25">
      <c r="A4389" t="str">
        <f>T("   390799")</f>
        <v xml:space="preserve">   390799</v>
      </c>
      <c r="B4389" t="str">
        <f>T("   POLYESTERS, SATURÉS, SOUS FORMES PRIMAIRES (À L'EXCL. DES POLYCARBONATES, DES RÉSINES ALKYDES ET DU POLY[ÉTHYLÈNE TÉRÉPHTALATE]) [01/01/1988-31/12/1993: POLYESTERS ALLYLIQUES ET AUTRES POLYESTERS, SATURÉS, SOUS FORMES PRIMAIRES]")</f>
        <v xml:space="preserve">   POLYESTERS, SATURÉS, SOUS FORMES PRIMAIRES (À L'EXCL. DES POLYCARBONATES, DES RÉSINES ALKYDES ET DU POLY[ÉTHYLÈNE TÉRÉPHTALATE]) [01/01/1988-31/12/1993: POLYESTERS ALLYLIQUES ET AUTRES POLYESTERS, SATURÉS, SOUS FORMES PRIMAIRES]</v>
      </c>
      <c r="C4389">
        <v>287791942</v>
      </c>
      <c r="D4389">
        <v>308415</v>
      </c>
    </row>
    <row r="4390" spans="1:4" x14ac:dyDescent="0.25">
      <c r="A4390" t="str">
        <f>T("   390810")</f>
        <v xml:space="preserve">   390810</v>
      </c>
      <c r="B4390" t="str">
        <f>T("   Polyamide-6, -11, -12, -6,6, -6,9, -6,10 ou -6,12, sous formes primaires")</f>
        <v xml:space="preserve">   Polyamide-6, -11, -12, -6,6, -6,9, -6,10 ou -6,12, sous formes primaires</v>
      </c>
      <c r="C4390">
        <v>1695762</v>
      </c>
      <c r="D4390">
        <v>234</v>
      </c>
    </row>
    <row r="4391" spans="1:4" x14ac:dyDescent="0.25">
      <c r="A4391" t="str">
        <f>T("   390930")</f>
        <v xml:space="preserve">   390930</v>
      </c>
      <c r="B4391" t="str">
        <f>T("   Résines aminiques, sous formes primaires (à l'excl. des résines de thiourée ainsi que des résines uréiques ou mélaminiques)")</f>
        <v xml:space="preserve">   Résines aminiques, sous formes primaires (à l'excl. des résines de thiourée ainsi que des résines uréiques ou mélaminiques)</v>
      </c>
      <c r="C4391">
        <v>1112883</v>
      </c>
      <c r="D4391">
        <v>32</v>
      </c>
    </row>
    <row r="4392" spans="1:4" x14ac:dyDescent="0.25">
      <c r="A4392" t="str">
        <f>T("   390950")</f>
        <v xml:space="preserve">   390950</v>
      </c>
      <c r="B4392" t="str">
        <f>T("   Polyuréthannes, sous formes primaires")</f>
        <v xml:space="preserve">   Polyuréthannes, sous formes primaires</v>
      </c>
      <c r="C4392">
        <v>3386828</v>
      </c>
      <c r="D4392">
        <v>1636</v>
      </c>
    </row>
    <row r="4393" spans="1:4" x14ac:dyDescent="0.25">
      <c r="A4393" t="str">
        <f>T("   391000")</f>
        <v xml:space="preserve">   391000</v>
      </c>
      <c r="B4393" t="str">
        <f>T("   Silicones sous formes primaires")</f>
        <v xml:space="preserve">   Silicones sous formes primaires</v>
      </c>
      <c r="C4393">
        <v>8812167</v>
      </c>
      <c r="D4393">
        <v>2922</v>
      </c>
    </row>
    <row r="4394" spans="1:4" x14ac:dyDescent="0.25">
      <c r="A4394" t="str">
        <f>T("   391190")</f>
        <v xml:space="preserve">   391190</v>
      </c>
      <c r="B4394" t="str">
        <f>T("   Polysulfures, polysulfones et autres polymères et prépolymères obtenus par voie de synthèse chimique [voir note 3 du présent chapitre], n.d.a., sous formes primaires")</f>
        <v xml:space="preserve">   Polysulfures, polysulfones et autres polymères et prépolymères obtenus par voie de synthèse chimique [voir note 3 du présent chapitre], n.d.a., sous formes primaires</v>
      </c>
      <c r="C4394">
        <v>5525151</v>
      </c>
      <c r="D4394">
        <v>1009</v>
      </c>
    </row>
    <row r="4395" spans="1:4" x14ac:dyDescent="0.25">
      <c r="A4395" t="str">
        <f>T("   391220")</f>
        <v xml:space="preserve">   391220</v>
      </c>
      <c r="B4395" t="str">
        <f>T("   Nitrates de cellulose, y.c. les collodions, sous formes primaires")</f>
        <v xml:space="preserve">   Nitrates de cellulose, y.c. les collodions, sous formes primaires</v>
      </c>
      <c r="C4395">
        <v>3432639</v>
      </c>
      <c r="D4395">
        <v>609</v>
      </c>
    </row>
    <row r="4396" spans="1:4" x14ac:dyDescent="0.25">
      <c r="A4396" t="str">
        <f>T("   391239")</f>
        <v xml:space="preserve">   391239</v>
      </c>
      <c r="B4396" t="str">
        <f>T("   ÉTHERS DE CELLULOSE, SOUS FORMES PRIMAIRES (À L'EXCL. DE LA CARBOXYMÉTHYLCELLULOSE ET DE SES SELS)")</f>
        <v xml:space="preserve">   ÉTHERS DE CELLULOSE, SOUS FORMES PRIMAIRES (À L'EXCL. DE LA CARBOXYMÉTHYLCELLULOSE ET DE SES SELS)</v>
      </c>
      <c r="C4396">
        <v>10759712</v>
      </c>
      <c r="D4396">
        <v>2000</v>
      </c>
    </row>
    <row r="4397" spans="1:4" x14ac:dyDescent="0.25">
      <c r="A4397" t="str">
        <f>T("   391290")</f>
        <v xml:space="preserve">   391290</v>
      </c>
      <c r="B4397" t="str">
        <f>T("   Cellulose et ses dérivés chimiques, n.d.a., sous formes primaires (à l'excl. des acétates, nitrates et éthers de cellulose)")</f>
        <v xml:space="preserve">   Cellulose et ses dérivés chimiques, n.d.a., sous formes primaires (à l'excl. des acétates, nitrates et éthers de cellulose)</v>
      </c>
      <c r="C4397">
        <v>11142793</v>
      </c>
      <c r="D4397">
        <v>2066</v>
      </c>
    </row>
    <row r="4398" spans="1:4" x14ac:dyDescent="0.25">
      <c r="A4398" t="str">
        <f>T("   391690")</f>
        <v xml:space="preserve">   391690</v>
      </c>
      <c r="B4398" t="s">
        <v>127</v>
      </c>
      <c r="C4398">
        <v>4819338</v>
      </c>
      <c r="D4398">
        <v>675</v>
      </c>
    </row>
    <row r="4399" spans="1:4" x14ac:dyDescent="0.25">
      <c r="A4399" t="str">
        <f>T("   391721")</f>
        <v xml:space="preserve">   391721</v>
      </c>
      <c r="B4399" t="str">
        <f>T("   TUBES ET TUYAUX RIGIDES, EN POLYMÈRES DE L'ÉTHYLÈNE")</f>
        <v xml:space="preserve">   TUBES ET TUYAUX RIGIDES, EN POLYMÈRES DE L'ÉTHYLÈNE</v>
      </c>
      <c r="C4399">
        <v>1161922</v>
      </c>
      <c r="D4399">
        <v>685</v>
      </c>
    </row>
    <row r="4400" spans="1:4" x14ac:dyDescent="0.25">
      <c r="A4400" t="str">
        <f>T("   391722")</f>
        <v xml:space="preserve">   391722</v>
      </c>
      <c r="B4400" t="str">
        <f>T("   TUBES ET TUYAUX RIGIDES, EN POLYMÈRES DU PROPYLÈNE")</f>
        <v xml:space="preserve">   TUBES ET TUYAUX RIGIDES, EN POLYMÈRES DU PROPYLÈNE</v>
      </c>
      <c r="C4400">
        <v>96426</v>
      </c>
      <c r="D4400">
        <v>1</v>
      </c>
    </row>
    <row r="4401" spans="1:4" x14ac:dyDescent="0.25">
      <c r="A4401" t="str">
        <f>T("   391723")</f>
        <v xml:space="preserve">   391723</v>
      </c>
      <c r="B4401" t="str">
        <f>T("   TUBES ET TUYAUX RIGIDES, EN POLYMÈRES DU CHLORURE DE VINYLE")</f>
        <v xml:space="preserve">   TUBES ET TUYAUX RIGIDES, EN POLYMÈRES DU CHLORURE DE VINYLE</v>
      </c>
      <c r="C4401">
        <v>14048219</v>
      </c>
      <c r="D4401">
        <v>2737</v>
      </c>
    </row>
    <row r="4402" spans="1:4" x14ac:dyDescent="0.25">
      <c r="A4402" t="str">
        <f>T("   391729")</f>
        <v xml:space="preserve">   391729</v>
      </c>
      <c r="B4402" t="str">
        <f>T("   TUBES ET TUYAUX RIGIDES, EN MATIÈRES PLASTIQUES (À L'EXCL. DES TUBES ET TUYAUX EN POLYMÈRES DE L'ÉTHYLÈNE, DU PROPYLÈNE OU DU CHLORURE DE VINYLE)")</f>
        <v xml:space="preserve">   TUBES ET TUYAUX RIGIDES, EN MATIÈRES PLASTIQUES (À L'EXCL. DES TUBES ET TUYAUX EN POLYMÈRES DE L'ÉTHYLÈNE, DU PROPYLÈNE OU DU CHLORURE DE VINYLE)</v>
      </c>
      <c r="C4402">
        <v>299904</v>
      </c>
      <c r="D4402">
        <v>145</v>
      </c>
    </row>
    <row r="4403" spans="1:4" x14ac:dyDescent="0.25">
      <c r="A4403" t="str">
        <f>T("   391731")</f>
        <v xml:space="preserve">   391731</v>
      </c>
      <c r="B4403" t="str">
        <f>T("   Tubes et tuyaux souples, en matières plastiques, pouvant supporter une pression &gt;= 27,6 MPa, même munis d'accessoires")</f>
        <v xml:space="preserve">   Tubes et tuyaux souples, en matières plastiques, pouvant supporter une pression &gt;= 27,6 MPa, même munis d'accessoires</v>
      </c>
      <c r="C4403">
        <v>1007555</v>
      </c>
      <c r="D4403">
        <v>125</v>
      </c>
    </row>
    <row r="4404" spans="1:4" x14ac:dyDescent="0.25">
      <c r="A4404" t="str">
        <f>T("   391732")</f>
        <v xml:space="preserve">   391732</v>
      </c>
      <c r="B4404" t="str">
        <f>T("   TUBES ET TUYAUX SOUPLES, EN MATIÈRES PLASTIQUES, NON-RENFORCÉS D'AUTRES MATIÈRES NI AUTREMENT ASSOCIÉS À D'AUTRES MATIÈRES, SANS ACCESSOIRES")</f>
        <v xml:space="preserve">   TUBES ET TUYAUX SOUPLES, EN MATIÈRES PLASTIQUES, NON-RENFORCÉS D'AUTRES MATIÈRES NI AUTREMENT ASSOCIÉS À D'AUTRES MATIÈRES, SANS ACCESSOIRES</v>
      </c>
      <c r="C4404">
        <v>533951</v>
      </c>
      <c r="D4404">
        <v>60</v>
      </c>
    </row>
    <row r="4405" spans="1:4" x14ac:dyDescent="0.25">
      <c r="A4405" t="str">
        <f>T("   391733")</f>
        <v xml:space="preserve">   391733</v>
      </c>
      <c r="B4405" t="str">
        <f>T("   Tubes et tuyaux souples, en matières plastiques, non renforcés d'autres matières ni autrement associés à d'autres matières, munis d'accessoires")</f>
        <v xml:space="preserve">   Tubes et tuyaux souples, en matières plastiques, non renforcés d'autres matières ni autrement associés à d'autres matières, munis d'accessoires</v>
      </c>
      <c r="C4405">
        <v>2608097</v>
      </c>
      <c r="D4405">
        <v>534</v>
      </c>
    </row>
    <row r="4406" spans="1:4" x14ac:dyDescent="0.25">
      <c r="A4406" t="str">
        <f>T("   391739")</f>
        <v xml:space="preserve">   391739</v>
      </c>
      <c r="B4406" t="str">
        <f>T("   TUBES ET TUYAUX SOUPLES, EN MATIÈRES PLASTIQUES, RENFORCÉS D'AUTRES MATIÈRES OU ASSOCIÉS À D'AUTRES MATIÈRES (À L'EXCL. DES PRODUITS POUVANT SUPPORTER UNE PRESSION &gt;= 27,6 MPA)")</f>
        <v xml:space="preserve">   TUBES ET TUYAUX SOUPLES, EN MATIÈRES PLASTIQUES, RENFORCÉS D'AUTRES MATIÈRES OU ASSOCIÉS À D'AUTRES MATIÈRES (À L'EXCL. DES PRODUITS POUVANT SUPPORTER UNE PRESSION &gt;= 27,6 MPA)</v>
      </c>
      <c r="C4406">
        <v>39495505</v>
      </c>
      <c r="D4406">
        <v>32215</v>
      </c>
    </row>
    <row r="4407" spans="1:4" x14ac:dyDescent="0.25">
      <c r="A4407" t="str">
        <f>T("   391740")</f>
        <v xml:space="preserve">   391740</v>
      </c>
      <c r="B4407" t="str">
        <f>T("   Accessoires pour tubes ou tuyaux [joints, coudes, raccords, par exemple], en matières plastiques")</f>
        <v xml:space="preserve">   Accessoires pour tubes ou tuyaux [joints, coudes, raccords, par exemple], en matières plastiques</v>
      </c>
      <c r="C4407">
        <v>12918751</v>
      </c>
      <c r="D4407">
        <v>10753</v>
      </c>
    </row>
    <row r="4408" spans="1:4" x14ac:dyDescent="0.25">
      <c r="A4408" t="str">
        <f>T("   391810")</f>
        <v xml:space="preserve">   391810</v>
      </c>
      <c r="B4408" t="s">
        <v>128</v>
      </c>
      <c r="C4408">
        <v>3510370</v>
      </c>
      <c r="D4408">
        <v>5000</v>
      </c>
    </row>
    <row r="4409" spans="1:4" x14ac:dyDescent="0.25">
      <c r="A4409" t="str">
        <f>T("   391890")</f>
        <v xml:space="preserve">   391890</v>
      </c>
      <c r="B4409" t="s">
        <v>129</v>
      </c>
      <c r="C4409">
        <v>429156</v>
      </c>
      <c r="D4409">
        <v>7035</v>
      </c>
    </row>
    <row r="4410" spans="1:4" x14ac:dyDescent="0.25">
      <c r="A4410" t="str">
        <f>T("   391910")</f>
        <v xml:space="preserve">   391910</v>
      </c>
      <c r="B4410" t="str">
        <f>T("   Feuilles, bandes, rubans, pellicules et autres formes plates, auto-adhésifs, en matières plastiques, en rouleaux d'une largeur &lt;= 20 cm")</f>
        <v xml:space="preserve">   Feuilles, bandes, rubans, pellicules et autres formes plates, auto-adhésifs, en matières plastiques, en rouleaux d'une largeur &lt;= 20 cm</v>
      </c>
      <c r="C4410">
        <v>8362988</v>
      </c>
      <c r="D4410">
        <v>2618</v>
      </c>
    </row>
    <row r="4411" spans="1:4" x14ac:dyDescent="0.25">
      <c r="A4411" t="str">
        <f>T("   391990")</f>
        <v xml:space="preserve">   391990</v>
      </c>
      <c r="B4411" t="s">
        <v>130</v>
      </c>
      <c r="C4411">
        <v>85273742</v>
      </c>
      <c r="D4411">
        <v>9078</v>
      </c>
    </row>
    <row r="4412" spans="1:4" x14ac:dyDescent="0.25">
      <c r="A4412" t="str">
        <f>T("   392010")</f>
        <v xml:space="preserve">   392010</v>
      </c>
      <c r="B4412" t="s">
        <v>131</v>
      </c>
      <c r="C4412">
        <v>130351730</v>
      </c>
      <c r="D4412">
        <v>45576</v>
      </c>
    </row>
    <row r="4413" spans="1:4" x14ac:dyDescent="0.25">
      <c r="A4413" t="str">
        <f>T("   392020")</f>
        <v xml:space="preserve">   392020</v>
      </c>
      <c r="B4413" t="s">
        <v>132</v>
      </c>
      <c r="C4413">
        <v>2344435</v>
      </c>
      <c r="D4413">
        <v>842</v>
      </c>
    </row>
    <row r="4414" spans="1:4" x14ac:dyDescent="0.25">
      <c r="A4414" t="str">
        <f>T("   392043")</f>
        <v xml:space="preserve">   392043</v>
      </c>
      <c r="B4414" t="s">
        <v>133</v>
      </c>
      <c r="C4414">
        <v>1462792</v>
      </c>
      <c r="D4414">
        <v>592</v>
      </c>
    </row>
    <row r="4415" spans="1:4" x14ac:dyDescent="0.25">
      <c r="A4415" t="str">
        <f>T("   392063")</f>
        <v xml:space="preserve">   392063</v>
      </c>
      <c r="B4415" t="s">
        <v>137</v>
      </c>
      <c r="C4415">
        <v>935628</v>
      </c>
      <c r="D4415">
        <v>150</v>
      </c>
    </row>
    <row r="4416" spans="1:4" x14ac:dyDescent="0.25">
      <c r="A4416" t="str">
        <f>T("   392069")</f>
        <v xml:space="preserve">   392069</v>
      </c>
      <c r="B4416" t="s">
        <v>138</v>
      </c>
      <c r="C4416">
        <v>1259332</v>
      </c>
      <c r="D4416">
        <v>1809</v>
      </c>
    </row>
    <row r="4417" spans="1:4" x14ac:dyDescent="0.25">
      <c r="A4417" t="str">
        <f>T("   392099")</f>
        <v xml:space="preserve">   392099</v>
      </c>
      <c r="B4417" t="s">
        <v>139</v>
      </c>
      <c r="C4417">
        <v>1506910</v>
      </c>
      <c r="D4417">
        <v>1899</v>
      </c>
    </row>
    <row r="4418" spans="1:4" x14ac:dyDescent="0.25">
      <c r="A4418" t="str">
        <f>T("   392112")</f>
        <v xml:space="preserve">   392112</v>
      </c>
      <c r="B4418" t="s">
        <v>141</v>
      </c>
      <c r="C4418">
        <v>5603473</v>
      </c>
      <c r="D4418">
        <v>1964</v>
      </c>
    </row>
    <row r="4419" spans="1:4" x14ac:dyDescent="0.25">
      <c r="A4419" t="str">
        <f>T("   392190")</f>
        <v xml:space="preserve">   392190</v>
      </c>
      <c r="B4419" t="s">
        <v>143</v>
      </c>
      <c r="C4419">
        <v>20802040</v>
      </c>
      <c r="D4419">
        <v>7236</v>
      </c>
    </row>
    <row r="4420" spans="1:4" x14ac:dyDescent="0.25">
      <c r="A4420" t="str">
        <f>T("   392210")</f>
        <v xml:space="preserve">   392210</v>
      </c>
      <c r="B4420" t="str">
        <f>T("   Baignoires, douches, éviers et lavabos, en matières plastiques")</f>
        <v xml:space="preserve">   Baignoires, douches, éviers et lavabos, en matières plastiques</v>
      </c>
      <c r="C4420">
        <v>9710832</v>
      </c>
      <c r="D4420">
        <v>6500</v>
      </c>
    </row>
    <row r="4421" spans="1:4" x14ac:dyDescent="0.25">
      <c r="A4421" t="str">
        <f>T("   392220")</f>
        <v xml:space="preserve">   392220</v>
      </c>
      <c r="B4421" t="str">
        <f>T("   Sièges et couvercles de cuvettes d'aisance, en matières plastiques")</f>
        <v xml:space="preserve">   Sièges et couvercles de cuvettes d'aisance, en matières plastiques</v>
      </c>
      <c r="C4421">
        <v>69856</v>
      </c>
      <c r="D4421">
        <v>570</v>
      </c>
    </row>
    <row r="4422" spans="1:4" x14ac:dyDescent="0.25">
      <c r="A4422" t="str">
        <f>T("   392290")</f>
        <v xml:space="preserve">   392290</v>
      </c>
      <c r="B4422" t="str">
        <f>T("   Bidets, cuvettes d'aisance, réservoirs de chasse et articles simil. pour usages sanitaires ou hygiéniques, en matières plastiques (à l'excl. des baignoires, des douches, d'éviers, des lavabos ainsi que des sièges et couvercles de cuvettes d'aisance)")</f>
        <v xml:space="preserve">   Bidets, cuvettes d'aisance, réservoirs de chasse et articles simil. pour usages sanitaires ou hygiéniques, en matières plastiques (à l'excl. des baignoires, des douches, d'éviers, des lavabos ainsi que des sièges et couvercles de cuvettes d'aisance)</v>
      </c>
      <c r="C4422">
        <v>32349120</v>
      </c>
      <c r="D4422">
        <v>39838</v>
      </c>
    </row>
    <row r="4423" spans="1:4" x14ac:dyDescent="0.25">
      <c r="A4423" t="str">
        <f>T("   392310")</f>
        <v xml:space="preserve">   392310</v>
      </c>
      <c r="B4423" t="str">
        <f>T("   Boîtes, caisses, casiers et articles simil. pour le transport ou l'emballage, en matières plastiques")</f>
        <v xml:space="preserve">   Boîtes, caisses, casiers et articles simil. pour le transport ou l'emballage, en matières plastiques</v>
      </c>
      <c r="C4423">
        <v>9292331</v>
      </c>
      <c r="D4423">
        <v>7916</v>
      </c>
    </row>
    <row r="4424" spans="1:4" x14ac:dyDescent="0.25">
      <c r="A4424" t="str">
        <f>T("   392321")</f>
        <v xml:space="preserve">   392321</v>
      </c>
      <c r="B4424" t="str">
        <f>T("   Sacs, sachets, pochettes et cornets, en polymères de l'éthylène")</f>
        <v xml:space="preserve">   Sacs, sachets, pochettes et cornets, en polymères de l'éthylène</v>
      </c>
      <c r="C4424">
        <v>321644</v>
      </c>
      <c r="D4424">
        <v>80</v>
      </c>
    </row>
    <row r="4425" spans="1:4" x14ac:dyDescent="0.25">
      <c r="A4425" t="str">
        <f>T("   392329")</f>
        <v xml:space="preserve">   392329</v>
      </c>
      <c r="B4425" t="str">
        <f>T("   Sacs, sachets, pochettes et cornets, en matières plastiques (autres que les polymères de l'éthylène)")</f>
        <v xml:space="preserve">   Sacs, sachets, pochettes et cornets, en matières plastiques (autres que les polymères de l'éthylène)</v>
      </c>
      <c r="C4425">
        <v>16265447</v>
      </c>
      <c r="D4425">
        <v>28394</v>
      </c>
    </row>
    <row r="4426" spans="1:4" x14ac:dyDescent="0.25">
      <c r="A4426" t="str">
        <f>T("   392330")</f>
        <v xml:space="preserve">   392330</v>
      </c>
      <c r="B4426" t="str">
        <f>T("   Bonbonnes, bouteilles, flacons et articles simil. pour le transport ou l'emballage, en matières plastiques")</f>
        <v xml:space="preserve">   Bonbonnes, bouteilles, flacons et articles simil. pour le transport ou l'emballage, en matières plastiques</v>
      </c>
      <c r="C4426">
        <v>398909415</v>
      </c>
      <c r="D4426">
        <v>279102</v>
      </c>
    </row>
    <row r="4427" spans="1:4" x14ac:dyDescent="0.25">
      <c r="A4427" t="str">
        <f>T("   392350")</f>
        <v xml:space="preserve">   392350</v>
      </c>
      <c r="B4427" t="str">
        <f>T("   Bouchons, couvercles, capsules et autres dispositifs de fermeture, en matières plastiques")</f>
        <v xml:space="preserve">   Bouchons, couvercles, capsules et autres dispositifs de fermeture, en matières plastiques</v>
      </c>
      <c r="C4427">
        <v>47444894</v>
      </c>
      <c r="D4427">
        <v>17813</v>
      </c>
    </row>
    <row r="4428" spans="1:4" x14ac:dyDescent="0.25">
      <c r="A4428" t="str">
        <f>T("   392390")</f>
        <v xml:space="preserve">   392390</v>
      </c>
      <c r="B4428" t="s">
        <v>144</v>
      </c>
      <c r="C4428">
        <v>866067646</v>
      </c>
      <c r="D4428">
        <v>604843</v>
      </c>
    </row>
    <row r="4429" spans="1:4" x14ac:dyDescent="0.25">
      <c r="A4429" t="str">
        <f>T("   392410")</f>
        <v xml:space="preserve">   392410</v>
      </c>
      <c r="B4429" t="str">
        <f>T("   Vaisselle et autres articles pour le service de la table ou de la cuisine, en matières plastiques")</f>
        <v xml:space="preserve">   Vaisselle et autres articles pour le service de la table ou de la cuisine, en matières plastiques</v>
      </c>
      <c r="C4429">
        <v>47742279</v>
      </c>
      <c r="D4429">
        <v>16711</v>
      </c>
    </row>
    <row r="4430" spans="1:4" x14ac:dyDescent="0.25">
      <c r="A4430" t="str">
        <f>T("   392490")</f>
        <v xml:space="preserve">   392490</v>
      </c>
      <c r="B4430" t="s">
        <v>145</v>
      </c>
      <c r="C4430">
        <v>126867679</v>
      </c>
      <c r="D4430">
        <v>61481</v>
      </c>
    </row>
    <row r="4431" spans="1:4" x14ac:dyDescent="0.25">
      <c r="A4431" t="str">
        <f>T("   392510")</f>
        <v xml:space="preserve">   392510</v>
      </c>
      <c r="B4431" t="str">
        <f>T("   Réservoirs, foudres, cuves et récipients analogues, en matières plastiques, d'une contenance &gt; 300 l")</f>
        <v xml:space="preserve">   Réservoirs, foudres, cuves et récipients analogues, en matières plastiques, d'une contenance &gt; 300 l</v>
      </c>
      <c r="C4431">
        <v>1565121</v>
      </c>
      <c r="D4431">
        <v>420</v>
      </c>
    </row>
    <row r="4432" spans="1:4" x14ac:dyDescent="0.25">
      <c r="A4432" t="str">
        <f>T("   392520")</f>
        <v xml:space="preserve">   392520</v>
      </c>
      <c r="B4432" t="str">
        <f>T("   Portes, fenêtres et leurs cadres, chambranles et seuils, en matières plastiques")</f>
        <v xml:space="preserve">   Portes, fenêtres et leurs cadres, chambranles et seuils, en matières plastiques</v>
      </c>
      <c r="C4432">
        <v>424407</v>
      </c>
      <c r="D4432">
        <v>95</v>
      </c>
    </row>
    <row r="4433" spans="1:4" x14ac:dyDescent="0.25">
      <c r="A4433" t="str">
        <f>T("   392590")</f>
        <v xml:space="preserve">   392590</v>
      </c>
      <c r="B4433" t="s">
        <v>146</v>
      </c>
      <c r="C4433">
        <v>20535357</v>
      </c>
      <c r="D4433">
        <v>10153.91</v>
      </c>
    </row>
    <row r="4434" spans="1:4" x14ac:dyDescent="0.25">
      <c r="A4434" t="str">
        <f>T("   392610")</f>
        <v xml:space="preserve">   392610</v>
      </c>
      <c r="B4434" t="str">
        <f>T("   Articles de bureau et articles scolaires, en matières plastiques, n.d.a.")</f>
        <v xml:space="preserve">   Articles de bureau et articles scolaires, en matières plastiques, n.d.a.</v>
      </c>
      <c r="C4434">
        <v>36789632</v>
      </c>
      <c r="D4434">
        <v>43394</v>
      </c>
    </row>
    <row r="4435" spans="1:4" x14ac:dyDescent="0.25">
      <c r="A4435" t="str">
        <f>T("   392620")</f>
        <v xml:space="preserve">   392620</v>
      </c>
      <c r="B4435" t="str">
        <f>T("   Vêtements et accessoires du vêtement, y.c. les gants, mitaines et moufles, fabriqués par couture ou collage à partir de feuilles en matières plastiques")</f>
        <v xml:space="preserve">   Vêtements et accessoires du vêtement, y.c. les gants, mitaines et moufles, fabriqués par couture ou collage à partir de feuilles en matières plastiques</v>
      </c>
      <c r="C4435">
        <v>13006948</v>
      </c>
      <c r="D4435">
        <v>5367.76</v>
      </c>
    </row>
    <row r="4436" spans="1:4" x14ac:dyDescent="0.25">
      <c r="A4436" t="str">
        <f>T("   392630")</f>
        <v xml:space="preserve">   392630</v>
      </c>
      <c r="B4436" t="str">
        <f>T("   Garnitures pour meubles, carrosseries ou simil., en matières plastiques (à l'excl. des articles d'équipement pour la construction destinés à être fixés à demeure sur des parties de bâtiments)")</f>
        <v xml:space="preserve">   Garnitures pour meubles, carrosseries ou simil., en matières plastiques (à l'excl. des articles d'équipement pour la construction destinés à être fixés à demeure sur des parties de bâtiments)</v>
      </c>
      <c r="C4436">
        <v>30174</v>
      </c>
      <c r="D4436">
        <v>113</v>
      </c>
    </row>
    <row r="4437" spans="1:4" x14ac:dyDescent="0.25">
      <c r="A4437" t="str">
        <f>T("   392640")</f>
        <v xml:space="preserve">   392640</v>
      </c>
      <c r="B4437" t="str">
        <f>T("   Statuettes et autres objets d'ornementation, en matières plastiques")</f>
        <v xml:space="preserve">   Statuettes et autres objets d'ornementation, en matières plastiques</v>
      </c>
      <c r="C4437">
        <v>962950</v>
      </c>
      <c r="D4437">
        <v>189</v>
      </c>
    </row>
    <row r="4438" spans="1:4" x14ac:dyDescent="0.25">
      <c r="A4438" t="str">
        <f>T("   392690")</f>
        <v xml:space="preserve">   392690</v>
      </c>
      <c r="B4438" t="str">
        <f>T("   Ouvrages en matières plastiques et ouvrages en autres matières du n° 3901 à 3914, n.d.a.")</f>
        <v xml:space="preserve">   Ouvrages en matières plastiques et ouvrages en autres matières du n° 3901 à 3914, n.d.a.</v>
      </c>
      <c r="C4438">
        <v>103795054</v>
      </c>
      <c r="D4438">
        <v>30793</v>
      </c>
    </row>
    <row r="4439" spans="1:4" x14ac:dyDescent="0.25">
      <c r="A4439" t="str">
        <f>T("   400211")</f>
        <v xml:space="preserve">   400211</v>
      </c>
      <c r="B4439" t="str">
        <f>T("   Latex de caoutchouc styrène-butadiène [SBR] ou de caoutchouc styrène-butadiène carboxylé [XSBR]")</f>
        <v xml:space="preserve">   Latex de caoutchouc styrène-butadiène [SBR] ou de caoutchouc styrène-butadiène carboxylé [XSBR]</v>
      </c>
      <c r="C4439">
        <v>44634338</v>
      </c>
      <c r="D4439">
        <v>34767</v>
      </c>
    </row>
    <row r="4440" spans="1:4" x14ac:dyDescent="0.25">
      <c r="A4440" t="str">
        <f>T("   400251")</f>
        <v xml:space="preserve">   400251</v>
      </c>
      <c r="B4440" t="str">
        <f>T("   Latex de caoutchouc acrylonitrile-butadiène [NBR]")</f>
        <v xml:space="preserve">   Latex de caoutchouc acrylonitrile-butadiène [NBR]</v>
      </c>
      <c r="C4440">
        <v>1758231</v>
      </c>
      <c r="D4440">
        <v>39</v>
      </c>
    </row>
    <row r="4441" spans="1:4" x14ac:dyDescent="0.25">
      <c r="A4441" t="str">
        <f>T("   400299")</f>
        <v xml:space="preserve">   400299</v>
      </c>
      <c r="B4441" t="s">
        <v>147</v>
      </c>
      <c r="C4441">
        <v>1792555</v>
      </c>
      <c r="D4441">
        <v>384</v>
      </c>
    </row>
    <row r="4442" spans="1:4" x14ac:dyDescent="0.25">
      <c r="A4442" t="str">
        <f>T("   400400")</f>
        <v xml:space="preserve">   400400</v>
      </c>
      <c r="B4442" t="str">
        <f>T("   Déchets, débris et rognures de caoutchouc non durci, même réduits en poudre ou en granulés")</f>
        <v xml:space="preserve">   Déchets, débris et rognures de caoutchouc non durci, même réduits en poudre ou en granulés</v>
      </c>
      <c r="C4442">
        <v>19018249</v>
      </c>
      <c r="D4442">
        <v>31000</v>
      </c>
    </row>
    <row r="4443" spans="1:4" x14ac:dyDescent="0.25">
      <c r="A4443" t="str">
        <f>T("   400520")</f>
        <v xml:space="preserve">   400520</v>
      </c>
      <c r="B4443" t="s">
        <v>148</v>
      </c>
      <c r="C4443">
        <v>11807</v>
      </c>
      <c r="D4443">
        <v>1</v>
      </c>
    </row>
    <row r="4444" spans="1:4" x14ac:dyDescent="0.25">
      <c r="A4444" t="str">
        <f>T("   400599")</f>
        <v xml:space="preserve">   400599</v>
      </c>
      <c r="B4444" t="s">
        <v>150</v>
      </c>
      <c r="C4444">
        <v>36000</v>
      </c>
      <c r="D4444">
        <v>30</v>
      </c>
    </row>
    <row r="4445" spans="1:4" x14ac:dyDescent="0.25">
      <c r="A4445" t="str">
        <f>T("   400700")</f>
        <v xml:space="preserve">   400700</v>
      </c>
      <c r="B4445" t="s">
        <v>152</v>
      </c>
      <c r="C4445">
        <v>361434</v>
      </c>
      <c r="D4445">
        <v>119</v>
      </c>
    </row>
    <row r="4446" spans="1:4" x14ac:dyDescent="0.25">
      <c r="A4446" t="str">
        <f>T("   400819")</f>
        <v xml:space="preserve">   400819</v>
      </c>
      <c r="B4446" t="str">
        <f>T("   Baguettes et profilés, en caoutchouc alvéolaire non durci")</f>
        <v xml:space="preserve">   Baguettes et profilés, en caoutchouc alvéolaire non durci</v>
      </c>
      <c r="C4446">
        <v>3496266</v>
      </c>
      <c r="D4446">
        <v>520</v>
      </c>
    </row>
    <row r="4447" spans="1:4" x14ac:dyDescent="0.25">
      <c r="A4447" t="str">
        <f>T("   400821")</f>
        <v xml:space="preserve">   400821</v>
      </c>
      <c r="B4447" t="str">
        <f>T("   PLAQUES, FEUILLES ET BANDES, EN CAOUTCHOUC NON-ALVÉOLAIRE NON-DURCI")</f>
        <v xml:space="preserve">   PLAQUES, FEUILLES ET BANDES, EN CAOUTCHOUC NON-ALVÉOLAIRE NON-DURCI</v>
      </c>
      <c r="C4447">
        <v>1315200</v>
      </c>
      <c r="D4447">
        <v>236</v>
      </c>
    </row>
    <row r="4448" spans="1:4" x14ac:dyDescent="0.25">
      <c r="A4448" t="str">
        <f>T("   400829")</f>
        <v xml:space="preserve">   400829</v>
      </c>
      <c r="B4448" t="str">
        <f>T("   Baguettes et profilés, en caoutchouc non alvéolaire non durci")</f>
        <v xml:space="preserve">   Baguettes et profilés, en caoutchouc non alvéolaire non durci</v>
      </c>
      <c r="C4448">
        <v>1443063</v>
      </c>
      <c r="D4448">
        <v>101</v>
      </c>
    </row>
    <row r="4449" spans="1:4" x14ac:dyDescent="0.25">
      <c r="A4449" t="str">
        <f>T("   400911")</f>
        <v xml:space="preserve">   400911</v>
      </c>
      <c r="B4449" t="str">
        <f>T("   Tubes et tuyaux en caoutchouc vulcanisé non durci, non renforcés à l'aide d'autres matières ni autrement associés à d'autres matières, sans accessoires")</f>
        <v xml:space="preserve">   Tubes et tuyaux en caoutchouc vulcanisé non durci, non renforcés à l'aide d'autres matières ni autrement associés à d'autres matières, sans accessoires</v>
      </c>
      <c r="C4449">
        <v>40521714</v>
      </c>
      <c r="D4449">
        <v>4728.6499999999996</v>
      </c>
    </row>
    <row r="4450" spans="1:4" x14ac:dyDescent="0.25">
      <c r="A4450" t="str">
        <f>T("   400912")</f>
        <v xml:space="preserve">   400912</v>
      </c>
      <c r="B4450" t="str">
        <f>T("   TUBES ET TUYAUX EN CAOUTCHOUC VULCANISÉ NON DURCI, NON RENFORCÉS À L'AIDE D'AUTRES MATIÈRES NI AUTREMENT ASSOCIÉS À D'AUTRES MATIÈRES, AVEC ACCESSOIRES [JOINTS, COUDES, RACCORDS, PAR EXEMPLE]")</f>
        <v xml:space="preserve">   TUBES ET TUYAUX EN CAOUTCHOUC VULCANISÉ NON DURCI, NON RENFORCÉS À L'AIDE D'AUTRES MATIÈRES NI AUTREMENT ASSOCIÉS À D'AUTRES MATIÈRES, AVEC ACCESSOIRES [JOINTS, COUDES, RACCORDS, PAR EXEMPLE]</v>
      </c>
      <c r="C4450">
        <v>2478420</v>
      </c>
      <c r="D4450">
        <v>234</v>
      </c>
    </row>
    <row r="4451" spans="1:4" x14ac:dyDescent="0.25">
      <c r="A4451" t="str">
        <f>T("   400921")</f>
        <v xml:space="preserve">   400921</v>
      </c>
      <c r="B4451" t="str">
        <f>T("   Tubes et tuyaux en caoutchouc vulcanisé non durci, renforcés seulement à l'aide de métal ou autrement associés seulement à du métal, sans accessoires")</f>
        <v xml:space="preserve">   Tubes et tuyaux en caoutchouc vulcanisé non durci, renforcés seulement à l'aide de métal ou autrement associés seulement à du métal, sans accessoires</v>
      </c>
      <c r="C4451">
        <v>12491013</v>
      </c>
      <c r="D4451">
        <v>1560</v>
      </c>
    </row>
    <row r="4452" spans="1:4" x14ac:dyDescent="0.25">
      <c r="A4452" t="str">
        <f>T("   400922")</f>
        <v xml:space="preserve">   400922</v>
      </c>
      <c r="B4452" t="str">
        <f>T("   TUBES ET TUYAUX EN CAOUTCHOUC VULCANISÉ NON DURCI, RENFORCÉS SEULEMENT À L'AIDE DE MÉTAL OU AUTREMENT ASSOCIÉS SEULEMENT À DU MÉTAL, AVEC ACCESSOIRES [JOINTS, COUDES, RACCORDS, PAR EXEMPLE]")</f>
        <v xml:space="preserve">   TUBES ET TUYAUX EN CAOUTCHOUC VULCANISÉ NON DURCI, RENFORCÉS SEULEMENT À L'AIDE DE MÉTAL OU AUTREMENT ASSOCIÉS SEULEMENT À DU MÉTAL, AVEC ACCESSOIRES [JOINTS, COUDES, RACCORDS, PAR EXEMPLE]</v>
      </c>
      <c r="C4452">
        <v>512003</v>
      </c>
      <c r="D4452">
        <v>300</v>
      </c>
    </row>
    <row r="4453" spans="1:4" x14ac:dyDescent="0.25">
      <c r="A4453" t="str">
        <f>T("   400931")</f>
        <v xml:space="preserve">   400931</v>
      </c>
      <c r="B4453" t="str">
        <f>T("   Tubes et tuyaux en caoutchouc vulcanisé non durci, renforcés seulement à l'aide de matières textiles ou autrement associés seulement à des matières textiles, sans accessoires")</f>
        <v xml:space="preserve">   Tubes et tuyaux en caoutchouc vulcanisé non durci, renforcés seulement à l'aide de matières textiles ou autrement associés seulement à des matières textiles, sans accessoires</v>
      </c>
      <c r="C4453">
        <v>2173853</v>
      </c>
      <c r="D4453">
        <v>130</v>
      </c>
    </row>
    <row r="4454" spans="1:4" x14ac:dyDescent="0.25">
      <c r="A4454" t="str">
        <f>T("   400932")</f>
        <v xml:space="preserve">   400932</v>
      </c>
      <c r="B4454" t="str">
        <f>T("   TUBES ET TUYAUX EN CAOUTCHOUC VULCANISÉ NON DURCI, RENFORCÉS SEULEMENT À L'AIDE DE MATIÈRES TEXTILES OU AUTREMENT ASSOCIÉS SEULEMENT À DES MATIÈRES TEXTILES, AVEC ACCESSOIRES [JOINTS, COUDES, RACCORDS, PAR EXEMPLE]")</f>
        <v xml:space="preserve">   TUBES ET TUYAUX EN CAOUTCHOUC VULCANISÉ NON DURCI, RENFORCÉS SEULEMENT À L'AIDE DE MATIÈRES TEXTILES OU AUTREMENT ASSOCIÉS SEULEMENT À DES MATIÈRES TEXTILES, AVEC ACCESSOIRES [JOINTS, COUDES, RACCORDS, PAR EXEMPLE]</v>
      </c>
      <c r="C4454">
        <v>8525512</v>
      </c>
      <c r="D4454">
        <v>683</v>
      </c>
    </row>
    <row r="4455" spans="1:4" x14ac:dyDescent="0.25">
      <c r="A4455" t="str">
        <f>T("   400941")</f>
        <v xml:space="preserve">   400941</v>
      </c>
      <c r="B4455" t="str">
        <f>T("   Tubes et tuyaux en caoutchouc vulcanisé non durci, renforcés à l'aide d'autres matières que le métal ou les matières textiles ou autrement associés à d'autres matières que le métal ou les matières textiles, sans accessoires")</f>
        <v xml:space="preserve">   Tubes et tuyaux en caoutchouc vulcanisé non durci, renforcés à l'aide d'autres matières que le métal ou les matières textiles ou autrement associés à d'autres matières que le métal ou les matières textiles, sans accessoires</v>
      </c>
      <c r="C4455">
        <v>1593426</v>
      </c>
      <c r="D4455">
        <v>169</v>
      </c>
    </row>
    <row r="4456" spans="1:4" x14ac:dyDescent="0.25">
      <c r="A4456" t="str">
        <f>T("   400942")</f>
        <v xml:space="preserve">   400942</v>
      </c>
      <c r="B4456" t="s">
        <v>153</v>
      </c>
      <c r="C4456">
        <v>3282804</v>
      </c>
      <c r="D4456">
        <v>49</v>
      </c>
    </row>
    <row r="4457" spans="1:4" x14ac:dyDescent="0.25">
      <c r="A4457" t="str">
        <f>T("   401012")</f>
        <v xml:space="preserve">   401012</v>
      </c>
      <c r="B4457" t="str">
        <f>T("   Courroies transporteuses, en caoutchouc vulcanisé, renforcées seulement de matières textiles")</f>
        <v xml:space="preserve">   Courroies transporteuses, en caoutchouc vulcanisé, renforcées seulement de matières textiles</v>
      </c>
      <c r="C4457">
        <v>27352627</v>
      </c>
      <c r="D4457">
        <v>11251</v>
      </c>
    </row>
    <row r="4458" spans="1:4" x14ac:dyDescent="0.25">
      <c r="A4458" t="str">
        <f>T("   401019")</f>
        <v xml:space="preserve">   401019</v>
      </c>
      <c r="B4458" t="str">
        <f>T("   Courroies transporteuses, en caoutchouc vulcanisé (à l'excl. des produits renforcés seulement de métal, de matières textiles ou de matières plastiques)")</f>
        <v xml:space="preserve">   Courroies transporteuses, en caoutchouc vulcanisé (à l'excl. des produits renforcés seulement de métal, de matières textiles ou de matières plastiques)</v>
      </c>
      <c r="C4458">
        <v>9481337</v>
      </c>
      <c r="D4458">
        <v>2970</v>
      </c>
    </row>
    <row r="4459" spans="1:4" x14ac:dyDescent="0.25">
      <c r="A4459" t="str">
        <f>T("   401031")</f>
        <v xml:space="preserve">   401031</v>
      </c>
      <c r="B4459" t="str">
        <f>T("   Courroies de transmission sans fin de section trapézoïdale, en caoutchouc vulcanisé, striées, d'une circonférence extérieure &gt; 60 cm mais &lt;= 180 cm")</f>
        <v xml:space="preserve">   Courroies de transmission sans fin de section trapézoïdale, en caoutchouc vulcanisé, striées, d'une circonférence extérieure &gt; 60 cm mais &lt;= 180 cm</v>
      </c>
      <c r="C4459">
        <v>1402443</v>
      </c>
      <c r="D4459">
        <v>67</v>
      </c>
    </row>
    <row r="4460" spans="1:4" x14ac:dyDescent="0.25">
      <c r="A4460" t="str">
        <f>T("   401032")</f>
        <v xml:space="preserve">   401032</v>
      </c>
      <c r="B4460" t="str">
        <f>T("   Courroies de transmission sans fin de section trapézoïdale, en caoutchouc vulcanisé, d'une circonférence extérieure &gt; 60 cm mais &lt;= 180 cm (sauf striées)")</f>
        <v xml:space="preserve">   Courroies de transmission sans fin de section trapézoïdale, en caoutchouc vulcanisé, d'une circonférence extérieure &gt; 60 cm mais &lt;= 180 cm (sauf striées)</v>
      </c>
      <c r="C4460">
        <v>541823</v>
      </c>
      <c r="D4460">
        <v>54</v>
      </c>
    </row>
    <row r="4461" spans="1:4" x14ac:dyDescent="0.25">
      <c r="A4461" t="str">
        <f>T("   401034")</f>
        <v xml:space="preserve">   401034</v>
      </c>
      <c r="B4461" t="str">
        <f>T("   Courroies de transmission sans fin de section trapézoïdale, en caoutchouc vulcanisé, d'une circonférence extérieure &gt; 180 cm mais &lt;= 240 cm (sauf striées)")</f>
        <v xml:space="preserve">   Courroies de transmission sans fin de section trapézoïdale, en caoutchouc vulcanisé, d'une circonférence extérieure &gt; 180 cm mais &lt;= 240 cm (sauf striées)</v>
      </c>
      <c r="C4461">
        <v>155463</v>
      </c>
      <c r="D4461">
        <v>2</v>
      </c>
    </row>
    <row r="4462" spans="1:4" x14ac:dyDescent="0.25">
      <c r="A4462" t="str">
        <f>T("   401039")</f>
        <v xml:space="preserve">   401039</v>
      </c>
      <c r="B4462" t="s">
        <v>154</v>
      </c>
      <c r="C4462">
        <v>23477608</v>
      </c>
      <c r="D4462">
        <v>1743</v>
      </c>
    </row>
    <row r="4463" spans="1:4" x14ac:dyDescent="0.25">
      <c r="A4463" t="str">
        <f>T("   401110")</f>
        <v xml:space="preserve">   401110</v>
      </c>
      <c r="B4463" t="str">
        <f>T("   Pneumatiques neufs, en caoutchouc, des types utilisés pour les voitures de tourisme, y.c. les voitures du type 'break' et les voitures de course")</f>
        <v xml:space="preserve">   Pneumatiques neufs, en caoutchouc, des types utilisés pour les voitures de tourisme, y.c. les voitures du type 'break' et les voitures de course</v>
      </c>
      <c r="C4463">
        <v>4474959</v>
      </c>
      <c r="D4463">
        <v>870</v>
      </c>
    </row>
    <row r="4464" spans="1:4" x14ac:dyDescent="0.25">
      <c r="A4464" t="str">
        <f>T("   401120")</f>
        <v xml:space="preserve">   401120</v>
      </c>
      <c r="B4464" t="str">
        <f>T("   Pneumatiques neufs, en caoutchouc, des types utilisés pour les autobus ou les camions (à l'excl. des pneumatiques à crampons, à chevrons ou simil.)")</f>
        <v xml:space="preserve">   Pneumatiques neufs, en caoutchouc, des types utilisés pour les autobus ou les camions (à l'excl. des pneumatiques à crampons, à chevrons ou simil.)</v>
      </c>
      <c r="C4464">
        <v>15319499</v>
      </c>
      <c r="D4464">
        <v>7015</v>
      </c>
    </row>
    <row r="4465" spans="1:4" x14ac:dyDescent="0.25">
      <c r="A4465" t="str">
        <f>T("   401140")</f>
        <v xml:space="preserve">   401140</v>
      </c>
      <c r="B4465" t="str">
        <f>T("   Pneumatiques neufs, en caoutchouc, des types utilisés pour les motocycles")</f>
        <v xml:space="preserve">   Pneumatiques neufs, en caoutchouc, des types utilisés pour les motocycles</v>
      </c>
      <c r="C4465">
        <v>1545442</v>
      </c>
      <c r="D4465">
        <v>215</v>
      </c>
    </row>
    <row r="4466" spans="1:4" x14ac:dyDescent="0.25">
      <c r="A4466" t="str">
        <f>T("   401163")</f>
        <v xml:space="preserve">   401163</v>
      </c>
      <c r="B4466" t="str">
        <f>T("   Pneumatiques neufs, en caoutchouc, à crampons, à chevrons ou simil., des types utilisés pour les véhicules et engins de génie civil et de manutention industrielle, pour jantes d'un diamètre &gt; 61 cm")</f>
        <v xml:space="preserve">   Pneumatiques neufs, en caoutchouc, à crampons, à chevrons ou simil., des types utilisés pour les véhicules et engins de génie civil et de manutention industrielle, pour jantes d'un diamètre &gt; 61 cm</v>
      </c>
      <c r="C4466">
        <v>2233000</v>
      </c>
      <c r="D4466">
        <v>1500</v>
      </c>
    </row>
    <row r="4467" spans="1:4" x14ac:dyDescent="0.25">
      <c r="A4467" t="str">
        <f>T("   401193")</f>
        <v xml:space="preserve">   401193</v>
      </c>
      <c r="B4467" t="str">
        <f>T("   Pneumatiques neufs, en caoutchouc, des types utilisés pour les véhicules et engins de génie civil et de manutention industrielle, pour jantes d'un diamètre &lt;= 61 cm (à l'excl. des pneumatiques à crampons, à chevrons ou simil.)")</f>
        <v xml:space="preserve">   Pneumatiques neufs, en caoutchouc, des types utilisés pour les véhicules et engins de génie civil et de manutention industrielle, pour jantes d'un diamètre &lt;= 61 cm (à l'excl. des pneumatiques à crampons, à chevrons ou simil.)</v>
      </c>
      <c r="C4467">
        <v>1486018</v>
      </c>
      <c r="D4467">
        <v>30</v>
      </c>
    </row>
    <row r="4468" spans="1:4" x14ac:dyDescent="0.25">
      <c r="A4468" t="str">
        <f>T("   401199")</f>
        <v xml:space="preserve">   401199</v>
      </c>
      <c r="B4468" t="s">
        <v>155</v>
      </c>
      <c r="C4468">
        <v>421552138</v>
      </c>
      <c r="D4468">
        <v>83625</v>
      </c>
    </row>
    <row r="4469" spans="1:4" x14ac:dyDescent="0.25">
      <c r="A4469" t="str">
        <f>T("   401211")</f>
        <v xml:space="preserve">   401211</v>
      </c>
      <c r="B4469" t="str">
        <f>T("   Pneumatiques rechapés, en caoutchouc, des types utilisés pour les voitures de tourisme, y.c. les voitures du type 'break' et les voitures de course")</f>
        <v xml:space="preserve">   Pneumatiques rechapés, en caoutchouc, des types utilisés pour les voitures de tourisme, y.c. les voitures du type 'break' et les voitures de course</v>
      </c>
      <c r="C4469">
        <v>341110200</v>
      </c>
      <c r="D4469">
        <v>691433</v>
      </c>
    </row>
    <row r="4470" spans="1:4" x14ac:dyDescent="0.25">
      <c r="A4470" t="str">
        <f>T("   401212")</f>
        <v xml:space="preserve">   401212</v>
      </c>
      <c r="B4470" t="str">
        <f>T("   Pneumatiques rechapés, en caoutchouc, des types utilisés pour les autobus ou camions")</f>
        <v xml:space="preserve">   Pneumatiques rechapés, en caoutchouc, des types utilisés pour les autobus ou camions</v>
      </c>
      <c r="C4470">
        <v>805055</v>
      </c>
      <c r="D4470">
        <v>941</v>
      </c>
    </row>
    <row r="4471" spans="1:4" x14ac:dyDescent="0.25">
      <c r="A4471" t="str">
        <f>T("   401219")</f>
        <v xml:space="preserve">   401219</v>
      </c>
      <c r="B4471" t="str">
        <f>T("   Pneumatiques rechapés, en caoutchouc (à l'excl. des pneumatiques des types utilisés pour les voitures de tourisme, les voitures du type 'break', les voitures de course, les autobus, les camions ou les véhicules aériens)")</f>
        <v xml:space="preserve">   Pneumatiques rechapés, en caoutchouc (à l'excl. des pneumatiques des types utilisés pour les voitures de tourisme, les voitures du type 'break', les voitures de course, les autobus, les camions ou les véhicules aériens)</v>
      </c>
      <c r="C4471">
        <v>6854000</v>
      </c>
      <c r="D4471">
        <v>5800</v>
      </c>
    </row>
    <row r="4472" spans="1:4" x14ac:dyDescent="0.25">
      <c r="A4472" t="str">
        <f>T("   401220")</f>
        <v xml:space="preserve">   401220</v>
      </c>
      <c r="B4472" t="str">
        <f>T("   Pneumatiques usagés, en caoutchouc")</f>
        <v xml:space="preserve">   Pneumatiques usagés, en caoutchouc</v>
      </c>
      <c r="C4472">
        <v>1659811753</v>
      </c>
      <c r="D4472">
        <v>5105547</v>
      </c>
    </row>
    <row r="4473" spans="1:4" x14ac:dyDescent="0.25">
      <c r="A4473" t="str">
        <f>T("   401310")</f>
        <v xml:space="preserve">   401310</v>
      </c>
      <c r="B4473" t="str">
        <f>T("   Chambres à air, en caoutchouc, des types utilisés pour les voitures de tourisme [y.c. les voitures du type 'break' et les voitures de course], les autobus ou les camions")</f>
        <v xml:space="preserve">   Chambres à air, en caoutchouc, des types utilisés pour les voitures de tourisme [y.c. les voitures du type 'break' et les voitures de course], les autobus ou les camions</v>
      </c>
      <c r="C4473">
        <v>59068280</v>
      </c>
      <c r="D4473">
        <v>200307</v>
      </c>
    </row>
    <row r="4474" spans="1:4" x14ac:dyDescent="0.25">
      <c r="A4474" t="str">
        <f>T("   401390")</f>
        <v xml:space="preserve">   401390</v>
      </c>
      <c r="B4474" t="str">
        <f>T("   Chambres à air, en caoutchouc (à l'excl. des chambres à air des types utilisés pour les voitures de tourisme, les voitures du type 'break', les voitures de course, les autobus, les camions et les bicyclettes)")</f>
        <v xml:space="preserve">   Chambres à air, en caoutchouc (à l'excl. des chambres à air des types utilisés pour les voitures de tourisme, les voitures du type 'break', les voitures de course, les autobus, les camions et les bicyclettes)</v>
      </c>
      <c r="C4474">
        <v>43827681</v>
      </c>
      <c r="D4474">
        <v>391763</v>
      </c>
    </row>
    <row r="4475" spans="1:4" x14ac:dyDescent="0.25">
      <c r="A4475" t="str">
        <f>T("   401410")</f>
        <v xml:space="preserve">   401410</v>
      </c>
      <c r="B4475" t="str">
        <f>T("   Préservatifs en caoutchouc vulcanisé non durci")</f>
        <v xml:space="preserve">   Préservatifs en caoutchouc vulcanisé non durci</v>
      </c>
      <c r="C4475">
        <v>99747519</v>
      </c>
      <c r="D4475">
        <v>9238</v>
      </c>
    </row>
    <row r="4476" spans="1:4" x14ac:dyDescent="0.25">
      <c r="A4476" t="str">
        <f>T("   401490")</f>
        <v xml:space="preserve">   401490</v>
      </c>
      <c r="B4476" t="str">
        <f>T("   ARTICLES D'HYGIÈNE OU DE PHARMACIE, Y.C. LES TÉTINES, EN CAOUTCHOUC VULCANISÉ NON-DURCI, MÊME AVEC PARTIES EN CAOUTCHOUC DURCI, N.D.A. (À L'EXCL. DES PRÉSERVATIFS AINSI QUE DES VÊTEMENTS ET ACCESSOIRES DU VÊTEMENT, Y.C. LES GANTS, POUR TOUS USAGES)")</f>
        <v xml:space="preserve">   ARTICLES D'HYGIÈNE OU DE PHARMACIE, Y.C. LES TÉTINES, EN CAOUTCHOUC VULCANISÉ NON-DURCI, MÊME AVEC PARTIES EN CAOUTCHOUC DURCI, N.D.A. (À L'EXCL. DES PRÉSERVATIFS AINSI QUE DES VÊTEMENTS ET ACCESSOIRES DU VÊTEMENT, Y.C. LES GANTS, POUR TOUS USAGES)</v>
      </c>
      <c r="C4476">
        <v>12606489</v>
      </c>
      <c r="D4476">
        <v>1269</v>
      </c>
    </row>
    <row r="4477" spans="1:4" x14ac:dyDescent="0.25">
      <c r="A4477" t="str">
        <f>T("   401511")</f>
        <v xml:space="preserve">   401511</v>
      </c>
      <c r="B4477" t="str">
        <f>T("   Gants en caoutchouc vulcanisé non durci, pour la chirurgie")</f>
        <v xml:space="preserve">   Gants en caoutchouc vulcanisé non durci, pour la chirurgie</v>
      </c>
      <c r="C4477">
        <v>1569215</v>
      </c>
      <c r="D4477">
        <v>734</v>
      </c>
    </row>
    <row r="4478" spans="1:4" x14ac:dyDescent="0.25">
      <c r="A4478" t="str">
        <f>T("   401519")</f>
        <v xml:space="preserve">   401519</v>
      </c>
      <c r="B4478" t="str">
        <f>T("   GANTS, MITAINES ET MOUFLES, EN CAOUTCHOUC VULCANISÉ NON-DURCI (À L'EXCL. DES GANTS POUR LA CHIRURGIE)")</f>
        <v xml:space="preserve">   GANTS, MITAINES ET MOUFLES, EN CAOUTCHOUC VULCANISÉ NON-DURCI (À L'EXCL. DES GANTS POUR LA CHIRURGIE)</v>
      </c>
      <c r="C4478">
        <v>3895059</v>
      </c>
      <c r="D4478">
        <v>607</v>
      </c>
    </row>
    <row r="4479" spans="1:4" x14ac:dyDescent="0.25">
      <c r="A4479" t="str">
        <f>T("   401590")</f>
        <v xml:space="preserve">   401590</v>
      </c>
      <c r="B4479" t="str">
        <f>T("   Vêtements et accessoires du vêtement en caoutchouc vulcanisé non durci, pour tous usages (à l'excl. des gants, mitaines et moufles, des chaussures ou des coiffures ainsi que des parties de chaussures ou de coiffures)")</f>
        <v xml:space="preserve">   Vêtements et accessoires du vêtement en caoutchouc vulcanisé non durci, pour tous usages (à l'excl. des gants, mitaines et moufles, des chaussures ou des coiffures ainsi que des parties de chaussures ou de coiffures)</v>
      </c>
      <c r="C4479">
        <v>707782</v>
      </c>
      <c r="D4479">
        <v>149</v>
      </c>
    </row>
    <row r="4480" spans="1:4" x14ac:dyDescent="0.25">
      <c r="A4480" t="str">
        <f>T("   401610")</f>
        <v xml:space="preserve">   401610</v>
      </c>
      <c r="B4480" t="str">
        <f>T("   Ouvrages en caoutchouc alvéolaire non durci, n.d.a.")</f>
        <v xml:space="preserve">   Ouvrages en caoutchouc alvéolaire non durci, n.d.a.</v>
      </c>
      <c r="C4480">
        <v>276238</v>
      </c>
      <c r="D4480">
        <v>8</v>
      </c>
    </row>
    <row r="4481" spans="1:4" x14ac:dyDescent="0.25">
      <c r="A4481" t="str">
        <f>T("   401691")</f>
        <v xml:space="preserve">   401691</v>
      </c>
      <c r="B4481" t="s">
        <v>156</v>
      </c>
      <c r="C4481">
        <v>197654</v>
      </c>
      <c r="D4481">
        <v>94</v>
      </c>
    </row>
    <row r="4482" spans="1:4" x14ac:dyDescent="0.25">
      <c r="A4482" t="str">
        <f>T("   401692")</f>
        <v xml:space="preserve">   401692</v>
      </c>
      <c r="B4482" t="str">
        <f>T("   Gommes à effacer, en caoutchouc vulcanisé non durci, prêtes à l'emploi (à l'excl. des articles simplement découpés de forme carrée ou rectangulaire)")</f>
        <v xml:space="preserve">   Gommes à effacer, en caoutchouc vulcanisé non durci, prêtes à l'emploi (à l'excl. des articles simplement découpés de forme carrée ou rectangulaire)</v>
      </c>
      <c r="C4482">
        <v>13119</v>
      </c>
      <c r="D4482">
        <v>20</v>
      </c>
    </row>
    <row r="4483" spans="1:4" x14ac:dyDescent="0.25">
      <c r="A4483" t="str">
        <f>T("   401693")</f>
        <v xml:space="preserve">   401693</v>
      </c>
      <c r="B4483" t="str">
        <f>T("   Joints en caoutchouc vulcanisé non durci (à l'excl. des articles en caoutchouc alvéolaire)")</f>
        <v xml:space="preserve">   Joints en caoutchouc vulcanisé non durci (à l'excl. des articles en caoutchouc alvéolaire)</v>
      </c>
      <c r="C4483">
        <v>21761399</v>
      </c>
      <c r="D4483">
        <v>1082.3499999999999</v>
      </c>
    </row>
    <row r="4484" spans="1:4" x14ac:dyDescent="0.25">
      <c r="A4484" t="str">
        <f>T("   401694")</f>
        <v xml:space="preserve">   401694</v>
      </c>
      <c r="B4484" t="str">
        <f>T("   Pare-chocs, même gonflables, pour l'accostage des bateaux, en caoutchouc vulcanisé non durci (à l'excl. des produits en caoutchouc alvéolaire)")</f>
        <v xml:space="preserve">   Pare-chocs, même gonflables, pour l'accostage des bateaux, en caoutchouc vulcanisé non durci (à l'excl. des produits en caoutchouc alvéolaire)</v>
      </c>
      <c r="C4484">
        <v>160464464</v>
      </c>
      <c r="D4484">
        <v>58000</v>
      </c>
    </row>
    <row r="4485" spans="1:4" x14ac:dyDescent="0.25">
      <c r="A4485" t="str">
        <f>T("   401695")</f>
        <v xml:space="preserve">   401695</v>
      </c>
      <c r="B4485" t="s">
        <v>157</v>
      </c>
      <c r="C4485">
        <v>192688</v>
      </c>
      <c r="D4485">
        <v>3</v>
      </c>
    </row>
    <row r="4486" spans="1:4" x14ac:dyDescent="0.25">
      <c r="A4486" t="str">
        <f>T("   401699")</f>
        <v xml:space="preserve">   401699</v>
      </c>
      <c r="B4486" t="str">
        <f>T("   OUVRAGES EN CAOUTCHOUC VULCANISÉ NON-DURCI, N.D.A.")</f>
        <v xml:space="preserve">   OUVRAGES EN CAOUTCHOUC VULCANISÉ NON-DURCI, N.D.A.</v>
      </c>
      <c r="C4486">
        <v>9431496</v>
      </c>
      <c r="D4486">
        <v>14519</v>
      </c>
    </row>
    <row r="4487" spans="1:4" x14ac:dyDescent="0.25">
      <c r="A4487" t="str">
        <f>T("   410799")</f>
        <v xml:space="preserve">   410799</v>
      </c>
      <c r="B4487" t="s">
        <v>159</v>
      </c>
      <c r="C4487">
        <v>216467</v>
      </c>
      <c r="D4487">
        <v>807</v>
      </c>
    </row>
    <row r="4488" spans="1:4" x14ac:dyDescent="0.25">
      <c r="A4488" t="str">
        <f>T("   420100")</f>
        <v xml:space="preserve">   420100</v>
      </c>
      <c r="B4488" t="s">
        <v>160</v>
      </c>
      <c r="C4488">
        <v>3444446</v>
      </c>
      <c r="D4488">
        <v>350</v>
      </c>
    </row>
    <row r="4489" spans="1:4" x14ac:dyDescent="0.25">
      <c r="A4489" t="str">
        <f>T("   420211")</f>
        <v xml:space="preserve">   420211</v>
      </c>
      <c r="B4489" t="str">
        <f>T("   Malles, valises et mallettes, y.c. les mallettes de toilette et les mallettes porte-documents, serviettes, cartables et contenants simil., à surface extérieure en cuir naturel, en cuir reconstitué ou en cuir verni")</f>
        <v xml:space="preserve">   Malles, valises et mallettes, y.c. les mallettes de toilette et les mallettes porte-documents, serviettes, cartables et contenants simil., à surface extérieure en cuir naturel, en cuir reconstitué ou en cuir verni</v>
      </c>
      <c r="C4489">
        <v>1131308</v>
      </c>
      <c r="D4489">
        <v>165</v>
      </c>
    </row>
    <row r="4490" spans="1:4" x14ac:dyDescent="0.25">
      <c r="A4490" t="str">
        <f>T("   420219")</f>
        <v xml:space="preserve">   420219</v>
      </c>
      <c r="B4490" t="s">
        <v>161</v>
      </c>
      <c r="C4490">
        <v>519380</v>
      </c>
      <c r="D4490">
        <v>208</v>
      </c>
    </row>
    <row r="4491" spans="1:4" x14ac:dyDescent="0.25">
      <c r="A4491" t="str">
        <f>T("   420221")</f>
        <v xml:space="preserve">   420221</v>
      </c>
      <c r="B4491" t="str">
        <f>T("   Sacs à main, même à bandoulière, y.c. ceux sans poignée, à surface extérieure en cuir naturel, en cuir reconstitué ou en cuir verni")</f>
        <v xml:space="preserve">   Sacs à main, même à bandoulière, y.c. ceux sans poignée, à surface extérieure en cuir naturel, en cuir reconstitué ou en cuir verni</v>
      </c>
      <c r="C4491">
        <v>697820</v>
      </c>
      <c r="D4491">
        <v>146</v>
      </c>
    </row>
    <row r="4492" spans="1:4" x14ac:dyDescent="0.25">
      <c r="A4492" t="str">
        <f>T("   420229")</f>
        <v xml:space="preserve">   420229</v>
      </c>
      <c r="B4492" t="str">
        <f>T("   Sacs à main, même à bandoulière, y.c. ceux sans poignée, à surface extérieure en fibre vulcanisée ou en carton, ou recouverts, en totalité ou en majeure partie, de ces mêmes matières ou de papier")</f>
        <v xml:space="preserve">   Sacs à main, même à bandoulière, y.c. ceux sans poignée, à surface extérieure en fibre vulcanisée ou en carton, ou recouverts, en totalité ou en majeure partie, de ces mêmes matières ou de papier</v>
      </c>
      <c r="C4492">
        <v>12908150</v>
      </c>
      <c r="D4492">
        <v>2875</v>
      </c>
    </row>
    <row r="4493" spans="1:4" x14ac:dyDescent="0.25">
      <c r="A4493" t="str">
        <f>T("   420232")</f>
        <v xml:space="preserve">   420232</v>
      </c>
      <c r="B4493" t="str">
        <f>T("   Portefeuilles, porte-monnaie, étuis à clés ou à cigarettes, blagues à tabac et articles simil. de poche ou de sac à main, à surface extérieure en feuilles de matières plastiques ou en matières textiles")</f>
        <v xml:space="preserve">   Portefeuilles, porte-monnaie, étuis à clés ou à cigarettes, blagues à tabac et articles simil. de poche ou de sac à main, à surface extérieure en feuilles de matières plastiques ou en matières textiles</v>
      </c>
      <c r="C4493">
        <v>103642</v>
      </c>
      <c r="D4493">
        <v>4</v>
      </c>
    </row>
    <row r="4494" spans="1:4" x14ac:dyDescent="0.25">
      <c r="A4494" t="str">
        <f>T("   420239")</f>
        <v xml:space="preserve">   420239</v>
      </c>
      <c r="B4494" t="s">
        <v>162</v>
      </c>
      <c r="C4494">
        <v>96000</v>
      </c>
      <c r="D4494">
        <v>43</v>
      </c>
    </row>
    <row r="4495" spans="1:4" x14ac:dyDescent="0.25">
      <c r="A4495" t="str">
        <f>T("   420292")</f>
        <v xml:space="preserve">   420292</v>
      </c>
      <c r="B4495" t="s">
        <v>163</v>
      </c>
      <c r="C4495">
        <v>1925363</v>
      </c>
      <c r="D4495">
        <v>1709</v>
      </c>
    </row>
    <row r="4496" spans="1:4" x14ac:dyDescent="0.25">
      <c r="A4496" t="str">
        <f>T("   420299")</f>
        <v xml:space="preserve">   420299</v>
      </c>
      <c r="B4496" t="s">
        <v>164</v>
      </c>
      <c r="C4496">
        <v>8274012</v>
      </c>
      <c r="D4496">
        <v>1092</v>
      </c>
    </row>
    <row r="4497" spans="1:4" x14ac:dyDescent="0.25">
      <c r="A4497" t="str">
        <f>T("   420310")</f>
        <v xml:space="preserve">   420310</v>
      </c>
      <c r="B4497" t="str">
        <f>T("   Vêtements, en cuir naturel ou reconstitué (à l'excl. des accessoires du vêtement, des chaussures ou des coiffures et leurs parties ainsi que des articles du chapitre 95 [p.ex.les protège-tibias ou les masques d'escrime])")</f>
        <v xml:space="preserve">   Vêtements, en cuir naturel ou reconstitué (à l'excl. des accessoires du vêtement, des chaussures ou des coiffures et leurs parties ainsi que des articles du chapitre 95 [p.ex.les protège-tibias ou les masques d'escrime])</v>
      </c>
      <c r="C4497">
        <v>2813268</v>
      </c>
      <c r="D4497">
        <v>773</v>
      </c>
    </row>
    <row r="4498" spans="1:4" x14ac:dyDescent="0.25">
      <c r="A4498" t="str">
        <f>T("   420321")</f>
        <v xml:space="preserve">   420321</v>
      </c>
      <c r="B4498" t="str">
        <f>T("   Gants, mitaines et moufles spécialement conçus pour la pratique des sports, en cuir naturel ou reconstitué")</f>
        <v xml:space="preserve">   Gants, mitaines et moufles spécialement conçus pour la pratique des sports, en cuir naturel ou reconstitué</v>
      </c>
      <c r="C4498">
        <v>1127517</v>
      </c>
      <c r="D4498">
        <v>32</v>
      </c>
    </row>
    <row r="4499" spans="1:4" x14ac:dyDescent="0.25">
      <c r="A4499" t="str">
        <f>T("   420329")</f>
        <v xml:space="preserve">   420329</v>
      </c>
      <c r="B4499" t="str">
        <f>T("   Gants, mitaines et moufles, en cuir naturel ou reconstitué (à l'excl. des articles spécialement conçus pour la pratique des sports)")</f>
        <v xml:space="preserve">   Gants, mitaines et moufles, en cuir naturel ou reconstitué (à l'excl. des articles spécialement conçus pour la pratique des sports)</v>
      </c>
      <c r="C4499">
        <v>2167287</v>
      </c>
      <c r="D4499">
        <v>605</v>
      </c>
    </row>
    <row r="4500" spans="1:4" x14ac:dyDescent="0.25">
      <c r="A4500" t="str">
        <f>T("   420330")</f>
        <v xml:space="preserve">   420330</v>
      </c>
      <c r="B4500" t="str">
        <f>T("   Ceintures, ceinturons et baudriers, en cuir naturel ou reconstitué")</f>
        <v xml:space="preserve">   Ceintures, ceinturons et baudriers, en cuir naturel ou reconstitué</v>
      </c>
      <c r="C4500">
        <v>174486</v>
      </c>
      <c r="D4500">
        <v>24</v>
      </c>
    </row>
    <row r="4501" spans="1:4" x14ac:dyDescent="0.25">
      <c r="A4501" t="str">
        <f>T("   420340")</f>
        <v xml:space="preserve">   420340</v>
      </c>
      <c r="B4501" t="s">
        <v>165</v>
      </c>
      <c r="C4501">
        <v>474301</v>
      </c>
      <c r="D4501">
        <v>7</v>
      </c>
    </row>
    <row r="4502" spans="1:4" x14ac:dyDescent="0.25">
      <c r="A4502" t="str">
        <f>T("   420400")</f>
        <v xml:space="preserve">   420400</v>
      </c>
      <c r="B4502" t="str">
        <f>T("   Articles en cuir naturel ou reconstitué, à usages techniques")</f>
        <v xml:space="preserve">   Articles en cuir naturel ou reconstitué, à usages techniques</v>
      </c>
      <c r="C4502">
        <v>440510</v>
      </c>
      <c r="D4502">
        <v>135</v>
      </c>
    </row>
    <row r="4503" spans="1:4" x14ac:dyDescent="0.25">
      <c r="A4503" t="str">
        <f>T("   440890")</f>
        <v xml:space="preserve">   440890</v>
      </c>
      <c r="B4503" t="s">
        <v>170</v>
      </c>
      <c r="C4503">
        <v>7279879</v>
      </c>
      <c r="D4503">
        <v>26000</v>
      </c>
    </row>
    <row r="4504" spans="1:4" x14ac:dyDescent="0.25">
      <c r="A4504" t="str">
        <f>T("   441119")</f>
        <v xml:space="preserve">   441119</v>
      </c>
      <c r="B4504" t="s">
        <v>172</v>
      </c>
      <c r="C4504">
        <v>19571221</v>
      </c>
      <c r="D4504">
        <v>120400</v>
      </c>
    </row>
    <row r="4505" spans="1:4" x14ac:dyDescent="0.25">
      <c r="A4505" t="str">
        <f>T("   441199")</f>
        <v xml:space="preserve">   441199</v>
      </c>
      <c r="B4505" t="s">
        <v>174</v>
      </c>
      <c r="C4505">
        <v>13350098</v>
      </c>
      <c r="D4505">
        <v>44150</v>
      </c>
    </row>
    <row r="4506" spans="1:4" x14ac:dyDescent="0.25">
      <c r="A4506" t="str">
        <f>T("   441219")</f>
        <v xml:space="preserve">   441219</v>
      </c>
      <c r="B4506" t="s">
        <v>177</v>
      </c>
      <c r="C4506">
        <v>44037219</v>
      </c>
      <c r="D4506">
        <v>161925</v>
      </c>
    </row>
    <row r="4507" spans="1:4" x14ac:dyDescent="0.25">
      <c r="A4507" t="str">
        <f>T("   441400")</f>
        <v xml:space="preserve">   441400</v>
      </c>
      <c r="B4507" t="str">
        <f>T("   Cadres en bois pour tableaux, photographies, miroirs ou objets simil.")</f>
        <v xml:space="preserve">   Cadres en bois pour tableaux, photographies, miroirs ou objets simil.</v>
      </c>
      <c r="C4507">
        <v>5637977</v>
      </c>
      <c r="D4507">
        <v>1679</v>
      </c>
    </row>
    <row r="4508" spans="1:4" x14ac:dyDescent="0.25">
      <c r="A4508" t="str">
        <f>T("   441510")</f>
        <v xml:space="preserve">   441510</v>
      </c>
      <c r="B4508" t="str">
        <f>T("   Caisses, caissettes, cageots, cylindres et emballages simil., en bois; tambours [tourets] pour câbles, en bois")</f>
        <v xml:space="preserve">   Caisses, caissettes, cageots, cylindres et emballages simil., en bois; tambours [tourets] pour câbles, en bois</v>
      </c>
      <c r="C4508">
        <v>19809499</v>
      </c>
      <c r="D4508">
        <v>21111</v>
      </c>
    </row>
    <row r="4509" spans="1:4" x14ac:dyDescent="0.25">
      <c r="A4509" t="str">
        <f>T("   441520")</f>
        <v xml:space="preserve">   441520</v>
      </c>
      <c r="B4509" t="str">
        <f>T("   Palettes simples, palettes-caisses et autres plateaux de chargement, en bois; rehausses de palettes en bois (à l'excl. des cadres et conteneurs spécialement conçus et équipés pour un ou plusieurs modes de transport)")</f>
        <v xml:space="preserve">   Palettes simples, palettes-caisses et autres plateaux de chargement, en bois; rehausses de palettes en bois (à l'excl. des cadres et conteneurs spécialement conçus et équipés pour un ou plusieurs modes de transport)</v>
      </c>
      <c r="C4509">
        <v>3925960</v>
      </c>
      <c r="D4509">
        <v>5151</v>
      </c>
    </row>
    <row r="4510" spans="1:4" x14ac:dyDescent="0.25">
      <c r="A4510" t="str">
        <f>T("   441820")</f>
        <v xml:space="preserve">   441820</v>
      </c>
      <c r="B4510" t="str">
        <f>T("   Portes et leurs cadres, chambranles et seuils, en bois")</f>
        <v xml:space="preserve">   Portes et leurs cadres, chambranles et seuils, en bois</v>
      </c>
      <c r="C4510">
        <v>5506291</v>
      </c>
      <c r="D4510">
        <v>6600</v>
      </c>
    </row>
    <row r="4511" spans="1:4" x14ac:dyDescent="0.25">
      <c r="A4511" t="str">
        <f>T("   441840")</f>
        <v xml:space="preserve">   441840</v>
      </c>
      <c r="B4511" t="str">
        <f>T("   Coffrages pour le bétonnage, en bois (à l'excl. des panneaux en bois contre-plaqués)")</f>
        <v xml:space="preserve">   Coffrages pour le bétonnage, en bois (à l'excl. des panneaux en bois contre-plaqués)</v>
      </c>
      <c r="C4511">
        <v>48919529</v>
      </c>
      <c r="D4511">
        <v>12698</v>
      </c>
    </row>
    <row r="4512" spans="1:4" x14ac:dyDescent="0.25">
      <c r="A4512" t="str">
        <f>T("   441890")</f>
        <v xml:space="preserve">   441890</v>
      </c>
      <c r="B4512" t="s">
        <v>182</v>
      </c>
      <c r="C4512">
        <v>1092986</v>
      </c>
      <c r="D4512">
        <v>2358</v>
      </c>
    </row>
    <row r="4513" spans="1:4" x14ac:dyDescent="0.25">
      <c r="A4513" t="str">
        <f>T("   442090")</f>
        <v xml:space="preserve">   442090</v>
      </c>
      <c r="B4513" t="s">
        <v>184</v>
      </c>
      <c r="C4513">
        <v>1660890</v>
      </c>
      <c r="D4513">
        <v>7951</v>
      </c>
    </row>
    <row r="4514" spans="1:4" x14ac:dyDescent="0.25">
      <c r="A4514" t="str">
        <f>T("   442190")</f>
        <v xml:space="preserve">   442190</v>
      </c>
      <c r="B4514" t="str">
        <f>T("   Ouvrages, en bois, n.d.a.")</f>
        <v xml:space="preserve">   Ouvrages, en bois, n.d.a.</v>
      </c>
      <c r="C4514">
        <v>9583718</v>
      </c>
      <c r="D4514">
        <v>26498</v>
      </c>
    </row>
    <row r="4515" spans="1:4" x14ac:dyDescent="0.25">
      <c r="A4515" t="str">
        <f>T("   480100")</f>
        <v xml:space="preserve">   480100</v>
      </c>
      <c r="B4515" t="str">
        <f>T("   Papier journal, en rouleaux d'une largeur &gt; 36 cm ou en feuilles de forme carrée ou rectangulaire dont au moins un coté &gt; 36 cm et l'autre &gt; 15 cm à l'état non plié")</f>
        <v xml:space="preserve">   Papier journal, en rouleaux d'une largeur &gt; 36 cm ou en feuilles de forme carrée ou rectangulaire dont au moins un coté &gt; 36 cm et l'autre &gt; 15 cm à l'état non plié</v>
      </c>
      <c r="C4515">
        <v>64720607</v>
      </c>
      <c r="D4515">
        <v>179014</v>
      </c>
    </row>
    <row r="4516" spans="1:4" x14ac:dyDescent="0.25">
      <c r="A4516" t="str">
        <f>T("   480210")</f>
        <v xml:space="preserve">   480210</v>
      </c>
      <c r="B4516" t="str">
        <f>T("   Papiers et cartons formés feuille à feuille [papiers à la main], de tout format et de toute forme")</f>
        <v xml:space="preserve">   Papiers et cartons formés feuille à feuille [papiers à la main], de tout format et de toute forme</v>
      </c>
      <c r="C4516">
        <v>616780</v>
      </c>
      <c r="D4516">
        <v>2099</v>
      </c>
    </row>
    <row r="4517" spans="1:4" x14ac:dyDescent="0.25">
      <c r="A4517" t="str">
        <f>T("   480255")</f>
        <v xml:space="preserve">   480255</v>
      </c>
      <c r="B4517" t="s">
        <v>189</v>
      </c>
      <c r="C4517">
        <v>40749009</v>
      </c>
      <c r="D4517">
        <v>77969</v>
      </c>
    </row>
    <row r="4518" spans="1:4" x14ac:dyDescent="0.25">
      <c r="A4518" t="str">
        <f>T("   480257")</f>
        <v xml:space="preserve">   480257</v>
      </c>
      <c r="B4518" t="s">
        <v>191</v>
      </c>
      <c r="C4518">
        <v>3860774</v>
      </c>
      <c r="D4518">
        <v>21800</v>
      </c>
    </row>
    <row r="4519" spans="1:4" x14ac:dyDescent="0.25">
      <c r="A4519" t="str">
        <f>T("   480258")</f>
        <v xml:space="preserve">   480258</v>
      </c>
      <c r="B4519" t="s">
        <v>192</v>
      </c>
      <c r="C4519">
        <v>35582131</v>
      </c>
      <c r="D4519">
        <v>43357</v>
      </c>
    </row>
    <row r="4520" spans="1:4" x14ac:dyDescent="0.25">
      <c r="A4520" t="str">
        <f>T("   480269")</f>
        <v xml:space="preserve">   480269</v>
      </c>
      <c r="B4520" t="s">
        <v>191</v>
      </c>
      <c r="C4520">
        <v>113632271</v>
      </c>
      <c r="D4520">
        <v>194897</v>
      </c>
    </row>
    <row r="4521" spans="1:4" x14ac:dyDescent="0.25">
      <c r="A4521" t="str">
        <f>T("   480300")</f>
        <v xml:space="preserve">   480300</v>
      </c>
      <c r="B4521" t="s">
        <v>194</v>
      </c>
      <c r="C4521">
        <v>7012736</v>
      </c>
      <c r="D4521">
        <v>10728</v>
      </c>
    </row>
    <row r="4522" spans="1:4" x14ac:dyDescent="0.25">
      <c r="A4522" t="str">
        <f>T("   480429")</f>
        <v xml:space="preserve">   480429</v>
      </c>
      <c r="B4522" t="str">
        <f>T("   PAPIERS KRAFT POUR SACS DE GRANDE CONTENANCE, NON-COUCHÉS NI ENDUITS, EN ROULEAUX D'UNE LARGEUR &gt; 36 CM (À L'EXCL. DES PAPIERS ÉCRUS AINSI QUE DES ARTICLES DU N° 4802, 4803 OU 4808)")</f>
        <v xml:space="preserve">   PAPIERS KRAFT POUR SACS DE GRANDE CONTENANCE, NON-COUCHÉS NI ENDUITS, EN ROULEAUX D'UNE LARGEUR &gt; 36 CM (À L'EXCL. DES PAPIERS ÉCRUS AINSI QUE DES ARTICLES DU N° 4802, 4803 OU 4808)</v>
      </c>
      <c r="C4522">
        <v>279865</v>
      </c>
      <c r="D4522">
        <v>1000</v>
      </c>
    </row>
    <row r="4523" spans="1:4" x14ac:dyDescent="0.25">
      <c r="A4523" t="str">
        <f>T("   480439")</f>
        <v xml:space="preserve">   480439</v>
      </c>
      <c r="B4523" t="s">
        <v>196</v>
      </c>
      <c r="C4523">
        <v>38190450</v>
      </c>
      <c r="D4523">
        <v>74007</v>
      </c>
    </row>
    <row r="4524" spans="1:4" x14ac:dyDescent="0.25">
      <c r="A4524" t="str">
        <f>T("   480630")</f>
        <v xml:space="preserve">   480630</v>
      </c>
      <c r="B4524" t="str">
        <f>T("   Papiers-calques, en rouleaux d'une largeur &gt; 36 cm ou en feuilles de forme carrée ou rectangulaire dont au moins un coté &gt; 36 cm et l'autre &gt; 15 cm à l'état non plié")</f>
        <v xml:space="preserve">   Papiers-calques, en rouleaux d'une largeur &gt; 36 cm ou en feuilles de forme carrée ou rectangulaire dont au moins un coté &gt; 36 cm et l'autre &gt; 15 cm à l'état non plié</v>
      </c>
      <c r="C4524">
        <v>1216248</v>
      </c>
      <c r="D4524">
        <v>261</v>
      </c>
    </row>
    <row r="4525" spans="1:4" x14ac:dyDescent="0.25">
      <c r="A4525" t="str">
        <f>T("   480830")</f>
        <v xml:space="preserve">   480830</v>
      </c>
      <c r="B4525" t="s">
        <v>201</v>
      </c>
      <c r="C4525">
        <v>292191</v>
      </c>
      <c r="D4525">
        <v>87</v>
      </c>
    </row>
    <row r="4526" spans="1:4" x14ac:dyDescent="0.25">
      <c r="A4526" t="str">
        <f>T("   480890")</f>
        <v xml:space="preserve">   480890</v>
      </c>
      <c r="B4526" t="s">
        <v>202</v>
      </c>
      <c r="C4526">
        <v>3957885</v>
      </c>
      <c r="D4526">
        <v>1876</v>
      </c>
    </row>
    <row r="4527" spans="1:4" x14ac:dyDescent="0.25">
      <c r="A4527" t="str">
        <f>T("   480990")</f>
        <v xml:space="preserve">   480990</v>
      </c>
      <c r="B4527" t="s">
        <v>203</v>
      </c>
      <c r="C4527">
        <v>1061042</v>
      </c>
      <c r="D4527">
        <v>4679</v>
      </c>
    </row>
    <row r="4528" spans="1:4" x14ac:dyDescent="0.25">
      <c r="A4528" t="str">
        <f>T("   481014")</f>
        <v xml:space="preserve">   481014</v>
      </c>
      <c r="B4528" t="s">
        <v>204</v>
      </c>
      <c r="C4528">
        <v>1152043</v>
      </c>
      <c r="D4528">
        <v>214</v>
      </c>
    </row>
    <row r="4529" spans="1:4" x14ac:dyDescent="0.25">
      <c r="A4529" t="str">
        <f>T("   481019")</f>
        <v xml:space="preserve">   481019</v>
      </c>
      <c r="B4529" t="s">
        <v>204</v>
      </c>
      <c r="C4529">
        <v>1200965</v>
      </c>
      <c r="D4529">
        <v>324</v>
      </c>
    </row>
    <row r="4530" spans="1:4" x14ac:dyDescent="0.25">
      <c r="A4530" t="str">
        <f>T("   481029")</f>
        <v xml:space="preserve">   481029</v>
      </c>
      <c r="B4530" t="s">
        <v>205</v>
      </c>
      <c r="C4530">
        <v>55207197</v>
      </c>
      <c r="D4530">
        <v>96188</v>
      </c>
    </row>
    <row r="4531" spans="1:4" x14ac:dyDescent="0.25">
      <c r="A4531" t="str">
        <f>T("   481031")</f>
        <v xml:space="preserve">   481031</v>
      </c>
      <c r="B4531" t="s">
        <v>206</v>
      </c>
      <c r="C4531">
        <v>1025790</v>
      </c>
      <c r="D4531">
        <v>2176</v>
      </c>
    </row>
    <row r="4532" spans="1:4" x14ac:dyDescent="0.25">
      <c r="A4532" t="str">
        <f>T("   481110")</f>
        <v xml:space="preserve">   481110</v>
      </c>
      <c r="B4532" t="str">
        <f>T("   Papiers et cartons goudronnés, bitumés ou asphaltés, en rouleaux ou en feuilles de forme carrée ou rectangulaire, de tout format")</f>
        <v xml:space="preserve">   Papiers et cartons goudronnés, bitumés ou asphaltés, en rouleaux ou en feuilles de forme carrée ou rectangulaire, de tout format</v>
      </c>
      <c r="C4532">
        <v>23090941</v>
      </c>
      <c r="D4532">
        <v>66845</v>
      </c>
    </row>
    <row r="4533" spans="1:4" x14ac:dyDescent="0.25">
      <c r="A4533" t="str">
        <f>T("   481141")</f>
        <v xml:space="preserve">   481141</v>
      </c>
      <c r="B4533" t="str">
        <f>T("   Papiers et cartons, auto-adhésifs, coloriés en surface, décorés en surface ou imprimés, en rouleaux ou en feuilles de forme carrée ou rectangulaire, de tout format (à l'excl. des produits du n° 4810)")</f>
        <v xml:space="preserve">   Papiers et cartons, auto-adhésifs, coloriés en surface, décorés en surface ou imprimés, en rouleaux ou en feuilles de forme carrée ou rectangulaire, de tout format (à l'excl. des produits du n° 4810)</v>
      </c>
      <c r="C4533">
        <v>8459482</v>
      </c>
      <c r="D4533">
        <v>4194</v>
      </c>
    </row>
    <row r="4534" spans="1:4" x14ac:dyDescent="0.25">
      <c r="A4534" t="str">
        <f>T("   481190")</f>
        <v xml:space="preserve">   481190</v>
      </c>
      <c r="B4534" t="s">
        <v>210</v>
      </c>
      <c r="C4534">
        <v>35206625</v>
      </c>
      <c r="D4534">
        <v>13985</v>
      </c>
    </row>
    <row r="4535" spans="1:4" x14ac:dyDescent="0.25">
      <c r="A4535" t="str">
        <f>T("   481200")</f>
        <v xml:space="preserve">   481200</v>
      </c>
      <c r="B4535" t="str">
        <f>T("   Blocs filtrants et plaques filtrantes, en pâte à papier")</f>
        <v xml:space="preserve">   Blocs filtrants et plaques filtrantes, en pâte à papier</v>
      </c>
      <c r="C4535">
        <v>4983330</v>
      </c>
      <c r="D4535">
        <v>554</v>
      </c>
    </row>
    <row r="4536" spans="1:4" x14ac:dyDescent="0.25">
      <c r="A4536" t="str">
        <f>T("   481690")</f>
        <v xml:space="preserve">   481690</v>
      </c>
      <c r="B4536" t="s">
        <v>213</v>
      </c>
      <c r="C4536">
        <v>2591042</v>
      </c>
      <c r="D4536">
        <v>1660</v>
      </c>
    </row>
    <row r="4537" spans="1:4" x14ac:dyDescent="0.25">
      <c r="A4537" t="str">
        <f>T("   481710")</f>
        <v xml:space="preserve">   481710</v>
      </c>
      <c r="B4537" t="str">
        <f>T("   Enveloppes, en papier ou en carton")</f>
        <v xml:space="preserve">   Enveloppes, en papier ou en carton</v>
      </c>
      <c r="C4537">
        <v>114014845</v>
      </c>
      <c r="D4537">
        <v>242974</v>
      </c>
    </row>
    <row r="4538" spans="1:4" x14ac:dyDescent="0.25">
      <c r="A4538" t="str">
        <f>T("   481730")</f>
        <v xml:space="preserve">   481730</v>
      </c>
      <c r="B4538" t="str">
        <f>T("   Boîtes, pochettes et présentations simil., en papier ou en carton, renfermant un assortiment d'articles de correspondance")</f>
        <v xml:space="preserve">   Boîtes, pochettes et présentations simil., en papier ou en carton, renfermant un assortiment d'articles de correspondance</v>
      </c>
      <c r="C4538">
        <v>869732</v>
      </c>
      <c r="D4538">
        <v>269</v>
      </c>
    </row>
    <row r="4539" spans="1:4" x14ac:dyDescent="0.25">
      <c r="A4539" t="str">
        <f>T("   481810")</f>
        <v xml:space="preserve">   481810</v>
      </c>
      <c r="B4539" t="str">
        <f>T("   Papier hygiénique, en rouleaux d'une largeur &lt;= 36 cm")</f>
        <v xml:space="preserve">   Papier hygiénique, en rouleaux d'une largeur &lt;= 36 cm</v>
      </c>
      <c r="C4539">
        <v>7759351</v>
      </c>
      <c r="D4539">
        <v>6771</v>
      </c>
    </row>
    <row r="4540" spans="1:4" x14ac:dyDescent="0.25">
      <c r="A4540" t="str">
        <f>T("   481820")</f>
        <v xml:space="preserve">   481820</v>
      </c>
      <c r="B4540" t="str">
        <f>T("   Mouchoirs, serviettes à démaquiller et essuie-mains, en pâte à papier, papier, ouate de cellulose ou nappes de fibres de cellulose")</f>
        <v xml:space="preserve">   Mouchoirs, serviettes à démaquiller et essuie-mains, en pâte à papier, papier, ouate de cellulose ou nappes de fibres de cellulose</v>
      </c>
      <c r="C4540">
        <v>51567933</v>
      </c>
      <c r="D4540">
        <v>38793</v>
      </c>
    </row>
    <row r="4541" spans="1:4" x14ac:dyDescent="0.25">
      <c r="A4541" t="str">
        <f>T("   481830")</f>
        <v xml:space="preserve">   481830</v>
      </c>
      <c r="B4541" t="str">
        <f>T("   Nappes et serviettes de table, en pâte à papier, papier, ouate de cellulose ou nappes de fibres de cellulose")</f>
        <v xml:space="preserve">   Nappes et serviettes de table, en pâte à papier, papier, ouate de cellulose ou nappes de fibres de cellulose</v>
      </c>
      <c r="C4541">
        <v>355463</v>
      </c>
      <c r="D4541">
        <v>674</v>
      </c>
    </row>
    <row r="4542" spans="1:4" x14ac:dyDescent="0.25">
      <c r="A4542" t="str">
        <f>T("   481840")</f>
        <v xml:space="preserve">   481840</v>
      </c>
      <c r="B4542" t="str">
        <f>T("   Serviettes et tampons hygiéniques, couches pour bébés et articles hygiéniques simil., en pâte à papier, papier, ouate de cellulose ou nappes de fibres de cellulose")</f>
        <v xml:space="preserve">   Serviettes et tampons hygiéniques, couches pour bébés et articles hygiéniques simil., en pâte à papier, papier, ouate de cellulose ou nappes de fibres de cellulose</v>
      </c>
      <c r="C4542">
        <v>46087069</v>
      </c>
      <c r="D4542">
        <v>38955</v>
      </c>
    </row>
    <row r="4543" spans="1:4" x14ac:dyDescent="0.25">
      <c r="A4543" t="str">
        <f>T("   481890")</f>
        <v xml:space="preserve">   481890</v>
      </c>
      <c r="B4543" t="s">
        <v>215</v>
      </c>
      <c r="C4543">
        <v>4349788</v>
      </c>
      <c r="D4543">
        <v>3670</v>
      </c>
    </row>
    <row r="4544" spans="1:4" x14ac:dyDescent="0.25">
      <c r="A4544" t="str">
        <f>T("   481910")</f>
        <v xml:space="preserve">   481910</v>
      </c>
      <c r="B4544" t="str">
        <f>T("   Boîtes et caisses en papier ou en carton ondulé")</f>
        <v xml:space="preserve">   Boîtes et caisses en papier ou en carton ondulé</v>
      </c>
      <c r="C4544">
        <v>2192874</v>
      </c>
      <c r="D4544">
        <v>289</v>
      </c>
    </row>
    <row r="4545" spans="1:4" x14ac:dyDescent="0.25">
      <c r="A4545" t="str">
        <f>T("   481920")</f>
        <v xml:space="preserve">   481920</v>
      </c>
      <c r="B4545" t="str">
        <f>T("   Boîtes et cartonnages, pliants, en papier ou en carton non ondulé")</f>
        <v xml:space="preserve">   Boîtes et cartonnages, pliants, en papier ou en carton non ondulé</v>
      </c>
      <c r="C4545">
        <v>62198672</v>
      </c>
      <c r="D4545">
        <v>35491</v>
      </c>
    </row>
    <row r="4546" spans="1:4" x14ac:dyDescent="0.25">
      <c r="A4546" t="str">
        <f>T("   481940")</f>
        <v xml:space="preserve">   481940</v>
      </c>
      <c r="B4546" t="str">
        <f>T("   Sacs, sachets, pochettes et cornets, en papier, carton, ouate de cellulose ou nappes de fibres de cellulose (à l'excl. des pochettes pour disques et des sacs d'une largeur à la base &gt;= 40 cm)")</f>
        <v xml:space="preserve">   Sacs, sachets, pochettes et cornets, en papier, carton, ouate de cellulose ou nappes de fibres de cellulose (à l'excl. des pochettes pour disques et des sacs d'une largeur à la base &gt;= 40 cm)</v>
      </c>
      <c r="C4546">
        <v>14606978</v>
      </c>
      <c r="D4546">
        <v>9072</v>
      </c>
    </row>
    <row r="4547" spans="1:4" x14ac:dyDescent="0.25">
      <c r="A4547" t="str">
        <f>T("   481950")</f>
        <v xml:space="preserve">   481950</v>
      </c>
      <c r="B4547" t="s">
        <v>216</v>
      </c>
      <c r="C4547">
        <v>2589857</v>
      </c>
      <c r="D4547">
        <v>2217</v>
      </c>
    </row>
    <row r="4548" spans="1:4" x14ac:dyDescent="0.25">
      <c r="A4548" t="str">
        <f>T("   481960")</f>
        <v xml:space="preserve">   481960</v>
      </c>
      <c r="B4548" t="str">
        <f>T("   Cartonnages de bureau, de magasin ou simil., rigides (à l'excl. des emballages)")</f>
        <v xml:space="preserve">   Cartonnages de bureau, de magasin ou simil., rigides (à l'excl. des emballages)</v>
      </c>
      <c r="C4548">
        <v>14509251</v>
      </c>
      <c r="D4548">
        <v>35790</v>
      </c>
    </row>
    <row r="4549" spans="1:4" x14ac:dyDescent="0.25">
      <c r="A4549" t="str">
        <f>T("   482010")</f>
        <v xml:space="preserve">   482010</v>
      </c>
      <c r="B4549" t="str">
        <f>T("   Registres, livres comptables, carnets de notes, de commandes ou de quittances, blocs-mémorandums, blocs de papier à lettres, agendas et ouvrages simil., en papier ou carton")</f>
        <v xml:space="preserve">   Registres, livres comptables, carnets de notes, de commandes ou de quittances, blocs-mémorandums, blocs de papier à lettres, agendas et ouvrages simil., en papier ou carton</v>
      </c>
      <c r="C4549">
        <v>64681531</v>
      </c>
      <c r="D4549">
        <v>26130.5</v>
      </c>
    </row>
    <row r="4550" spans="1:4" x14ac:dyDescent="0.25">
      <c r="A4550" t="str">
        <f>T("   482020")</f>
        <v xml:space="preserve">   482020</v>
      </c>
      <c r="B4550" t="str">
        <f>T("   Cahiers pour l'écriture, en papier ou carton")</f>
        <v xml:space="preserve">   Cahiers pour l'écriture, en papier ou carton</v>
      </c>
      <c r="C4550">
        <v>31107000</v>
      </c>
      <c r="D4550">
        <v>15298</v>
      </c>
    </row>
    <row r="4551" spans="1:4" x14ac:dyDescent="0.25">
      <c r="A4551" t="str">
        <f>T("   482030")</f>
        <v xml:space="preserve">   482030</v>
      </c>
      <c r="B4551" t="str">
        <f>T("   Classeurs, reliures (autres que les couvertures pour livres), chemises et couvertures à dossiers, en papier ou en carton")</f>
        <v xml:space="preserve">   Classeurs, reliures (autres que les couvertures pour livres), chemises et couvertures à dossiers, en papier ou en carton</v>
      </c>
      <c r="C4551">
        <v>49399954</v>
      </c>
      <c r="D4551">
        <v>38672</v>
      </c>
    </row>
    <row r="4552" spans="1:4" x14ac:dyDescent="0.25">
      <c r="A4552" t="str">
        <f>T("   482040")</f>
        <v xml:space="preserve">   482040</v>
      </c>
      <c r="B4552" t="str">
        <f>T("   Liasses et carnets manifold, même comportant des feuilles de papier carbone, en papier ou carton")</f>
        <v xml:space="preserve">   Liasses et carnets manifold, même comportant des feuilles de papier carbone, en papier ou carton</v>
      </c>
      <c r="C4552">
        <v>1515025</v>
      </c>
      <c r="D4552">
        <v>7352</v>
      </c>
    </row>
    <row r="4553" spans="1:4" x14ac:dyDescent="0.25">
      <c r="A4553" t="str">
        <f>T("   482090")</f>
        <v xml:space="preserve">   482090</v>
      </c>
      <c r="B4553" t="s">
        <v>217</v>
      </c>
      <c r="C4553">
        <v>11733222</v>
      </c>
      <c r="D4553">
        <v>17919</v>
      </c>
    </row>
    <row r="4554" spans="1:4" x14ac:dyDescent="0.25">
      <c r="A4554" t="str">
        <f>T("   482110")</f>
        <v xml:space="preserve">   482110</v>
      </c>
      <c r="B4554" t="str">
        <f>T("   ÉTIQUETTES DE TOUS GENRES, EN PAPIER OU EN CARTON, IMPRIMÉES")</f>
        <v xml:space="preserve">   ÉTIQUETTES DE TOUS GENRES, EN PAPIER OU EN CARTON, IMPRIMÉES</v>
      </c>
      <c r="C4554">
        <v>476324507</v>
      </c>
      <c r="D4554">
        <v>91826</v>
      </c>
    </row>
    <row r="4555" spans="1:4" x14ac:dyDescent="0.25">
      <c r="A4555" t="str">
        <f>T("   482190")</f>
        <v xml:space="preserve">   482190</v>
      </c>
      <c r="B4555" t="str">
        <f>T("   ÉTIQUETTES DE TOUS GENRES, EN PAPIER OU EN CARTON, NON-IMPRIMÉES")</f>
        <v xml:space="preserve">   ÉTIQUETTES DE TOUS GENRES, EN PAPIER OU EN CARTON, NON-IMPRIMÉES</v>
      </c>
      <c r="C4555">
        <v>17204221</v>
      </c>
      <c r="D4555">
        <v>2359</v>
      </c>
    </row>
    <row r="4556" spans="1:4" x14ac:dyDescent="0.25">
      <c r="A4556" t="str">
        <f>T("   482290")</f>
        <v xml:space="preserve">   482290</v>
      </c>
      <c r="B4556" t="str">
        <f>T("   Tambours, bobines, fusettes, canettes et supports simil., en pâte à papier, papier ou carton, même perforés ou durcis (à l'excl. des articles des types utilisés pour l'enroulement des fils textiles)")</f>
        <v xml:space="preserve">   Tambours, bobines, fusettes, canettes et supports simil., en pâte à papier, papier ou carton, même perforés ou durcis (à l'excl. des articles des types utilisés pour l'enroulement des fils textiles)</v>
      </c>
      <c r="C4556">
        <v>755935</v>
      </c>
      <c r="D4556">
        <v>340</v>
      </c>
    </row>
    <row r="4557" spans="1:4" x14ac:dyDescent="0.25">
      <c r="A4557" t="str">
        <f>T("   482312")</f>
        <v xml:space="preserve">   482312</v>
      </c>
      <c r="B4557" t="str">
        <f>T("   Papier auto-adhésif, en bandes ou en rouleaux d'une largeur &lt;= 36 cm (sauf colorié en surface, décoré en surface ou imprimé)")</f>
        <v xml:space="preserve">   Papier auto-adhésif, en bandes ou en rouleaux d'une largeur &lt;= 36 cm (sauf colorié en surface, décoré en surface ou imprimé)</v>
      </c>
      <c r="C4557">
        <v>181674</v>
      </c>
      <c r="D4557">
        <v>146</v>
      </c>
    </row>
    <row r="4558" spans="1:4" x14ac:dyDescent="0.25">
      <c r="A4558" t="str">
        <f>T("   482320")</f>
        <v xml:space="preserve">   482320</v>
      </c>
      <c r="B4558" t="str">
        <f>T("   Papier et carton-filtre, en bandes ou en rouleaux d'une largeur &lt;= 36 cm ou en feuilles de forme carrée ou rectangulaire dont aucun côté &gt; 36 cm à l'état non plié, ou découpés de forme autre que carrée ou rectangulaire")</f>
        <v xml:space="preserve">   Papier et carton-filtre, en bandes ou en rouleaux d'une largeur &lt;= 36 cm ou en feuilles de forme carrée ou rectangulaire dont aucun côté &gt; 36 cm à l'état non plié, ou découpés de forme autre que carrée ou rectangulaire</v>
      </c>
      <c r="C4558">
        <v>40670</v>
      </c>
      <c r="D4558">
        <v>5</v>
      </c>
    </row>
    <row r="4559" spans="1:4" x14ac:dyDescent="0.25">
      <c r="A4559" t="str">
        <f>T("   482340")</f>
        <v xml:space="preserve">   482340</v>
      </c>
      <c r="B4559" t="str">
        <f>T("   Papiers à diagrammes pour appareils enregistreurs, en bobines d'une largeur &lt;= 36 cm ou en feuilles de forme carrée ou rectangulaire dont aucun côté &gt; 36 cm à l'état non plié, ou découpés en disques")</f>
        <v xml:space="preserve">   Papiers à diagrammes pour appareils enregistreurs, en bobines d'une largeur &lt;= 36 cm ou en feuilles de forme carrée ou rectangulaire dont aucun côté &gt; 36 cm à l'état non plié, ou découpés en disques</v>
      </c>
      <c r="C4559">
        <v>22855765</v>
      </c>
      <c r="D4559">
        <v>12002</v>
      </c>
    </row>
    <row r="4560" spans="1:4" x14ac:dyDescent="0.25">
      <c r="A4560" t="str">
        <f>T("   482360")</f>
        <v xml:space="preserve">   482360</v>
      </c>
      <c r="B4560" t="str">
        <f>T("   Plateaux, plats, assiettes, tasses, gobelets et articles simil., en papier ou en carton")</f>
        <v xml:space="preserve">   Plateaux, plats, assiettes, tasses, gobelets et articles simil., en papier ou en carton</v>
      </c>
      <c r="C4560">
        <v>178421</v>
      </c>
      <c r="D4560">
        <v>42</v>
      </c>
    </row>
    <row r="4561" spans="1:4" x14ac:dyDescent="0.25">
      <c r="A4561" t="str">
        <f>T("   482370")</f>
        <v xml:space="preserve">   482370</v>
      </c>
      <c r="B4561" t="str">
        <f>T("   Articles moulés ou pressés en pâte à papier, n.d.a.")</f>
        <v xml:space="preserve">   Articles moulés ou pressés en pâte à papier, n.d.a.</v>
      </c>
      <c r="C4561">
        <v>18115162</v>
      </c>
      <c r="D4561">
        <v>29089</v>
      </c>
    </row>
    <row r="4562" spans="1:4" x14ac:dyDescent="0.25">
      <c r="A4562" t="str">
        <f>T("   482390")</f>
        <v xml:space="preserve">   482390</v>
      </c>
      <c r="B4562" t="s">
        <v>218</v>
      </c>
      <c r="C4562">
        <v>14236956</v>
      </c>
      <c r="D4562">
        <v>2474</v>
      </c>
    </row>
    <row r="4563" spans="1:4" x14ac:dyDescent="0.25">
      <c r="A4563" t="str">
        <f>T("   490110")</f>
        <v xml:space="preserve">   490110</v>
      </c>
      <c r="B4563" t="str">
        <f>T("   Livres, brochures et imprimés simil., en feuillets isolés, même pliés (à l'excl. des publications périodiques et des publications à usages principalement publicitaires)")</f>
        <v xml:space="preserve">   Livres, brochures et imprimés simil., en feuillets isolés, même pliés (à l'excl. des publications périodiques et des publications à usages principalement publicitaires)</v>
      </c>
      <c r="C4563">
        <v>64786558</v>
      </c>
      <c r="D4563">
        <v>49009</v>
      </c>
    </row>
    <row r="4564" spans="1:4" x14ac:dyDescent="0.25">
      <c r="A4564" t="str">
        <f>T("   490191")</f>
        <v xml:space="preserve">   490191</v>
      </c>
      <c r="B4564" t="str">
        <f>T("   Dictionnaires et encyclopédies, même en fascicules")</f>
        <v xml:space="preserve">   Dictionnaires et encyclopédies, même en fascicules</v>
      </c>
      <c r="C4564">
        <v>76941486</v>
      </c>
      <c r="D4564">
        <v>11295</v>
      </c>
    </row>
    <row r="4565" spans="1:4" x14ac:dyDescent="0.25">
      <c r="A4565" t="str">
        <f>T("   490199")</f>
        <v xml:space="preserve">   490199</v>
      </c>
      <c r="B4565"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4565">
        <v>1531711611</v>
      </c>
      <c r="D4565">
        <v>313762.33</v>
      </c>
    </row>
    <row r="4566" spans="1:4" x14ac:dyDescent="0.25">
      <c r="A4566" t="str">
        <f>T("   490210")</f>
        <v xml:space="preserve">   490210</v>
      </c>
      <c r="B4566" t="str">
        <f>T("   Journaux et publications périodiques imprimés, même illustrés ou contenant de la publicité, paraissant au moins quatre fois par semaine")</f>
        <v xml:space="preserve">   Journaux et publications périodiques imprimés, même illustrés ou contenant de la publicité, paraissant au moins quatre fois par semaine</v>
      </c>
      <c r="C4566">
        <v>38573071</v>
      </c>
      <c r="D4566">
        <v>20851</v>
      </c>
    </row>
    <row r="4567" spans="1:4" x14ac:dyDescent="0.25">
      <c r="A4567" t="str">
        <f>T("   490290")</f>
        <v xml:space="preserve">   490290</v>
      </c>
      <c r="B4567" t="str">
        <f>T("   Journaux et publications périodiques imprimés, même illustrés ou contenant de la publicité (à l'excl. des journaux et publications paraissant au moins quatre fois par semaine)")</f>
        <v xml:space="preserve">   Journaux et publications périodiques imprimés, même illustrés ou contenant de la publicité (à l'excl. des journaux et publications paraissant au moins quatre fois par semaine)</v>
      </c>
      <c r="C4567">
        <v>10186542</v>
      </c>
      <c r="D4567">
        <v>4998.2</v>
      </c>
    </row>
    <row r="4568" spans="1:4" x14ac:dyDescent="0.25">
      <c r="A4568" t="str">
        <f>T("   490400")</f>
        <v xml:space="preserve">   490400</v>
      </c>
      <c r="B4568" t="str">
        <f>T("   Musique manuscrite ou imprimée, illustrée ou non, même reliée")</f>
        <v xml:space="preserve">   Musique manuscrite ou imprimée, illustrée ou non, même reliée</v>
      </c>
      <c r="C4568">
        <v>1218773</v>
      </c>
      <c r="D4568">
        <v>908</v>
      </c>
    </row>
    <row r="4569" spans="1:4" x14ac:dyDescent="0.25">
      <c r="A4569" t="str">
        <f>T("   490599")</f>
        <v xml:space="preserve">   490599</v>
      </c>
      <c r="B4569" t="str">
        <f>T("   Ouvrages cartographiques de tous genres, y.c. les cartes murales et les plans topographiques, imprimés (à l'excl. des cartes et plans en relief, des globes ainsi que des ouvrages cartographiques sous forme de livres ou de brochures)")</f>
        <v xml:space="preserve">   Ouvrages cartographiques de tous genres, y.c. les cartes murales et les plans topographiques, imprimés (à l'excl. des cartes et plans en relief, des globes ainsi que des ouvrages cartographiques sous forme de livres ou de brochures)</v>
      </c>
      <c r="C4569">
        <v>3295280</v>
      </c>
      <c r="D4569">
        <v>549</v>
      </c>
    </row>
    <row r="4570" spans="1:4" x14ac:dyDescent="0.25">
      <c r="A4570" t="str">
        <f>T("   490600")</f>
        <v xml:space="preserve">   490600</v>
      </c>
      <c r="B4570" t="s">
        <v>219</v>
      </c>
      <c r="C4570">
        <v>930000</v>
      </c>
      <c r="D4570">
        <v>684</v>
      </c>
    </row>
    <row r="4571" spans="1:4" x14ac:dyDescent="0.25">
      <c r="A4571" t="str">
        <f>T("   490700")</f>
        <v xml:space="preserve">   490700</v>
      </c>
      <c r="B4571" t="s">
        <v>220</v>
      </c>
      <c r="C4571">
        <v>81757785</v>
      </c>
      <c r="D4571">
        <v>38131</v>
      </c>
    </row>
    <row r="4572" spans="1:4" x14ac:dyDescent="0.25">
      <c r="A4572" t="str">
        <f>T("   490900")</f>
        <v xml:space="preserve">   490900</v>
      </c>
      <c r="B4572" t="str">
        <f>T("   Cartes postales imprimées ou illustrées; cartes imprimées comportant des voeux ou des messages personnels, même illustrées, avec ou sans enveloppes, garnitures ou applications")</f>
        <v xml:space="preserve">   Cartes postales imprimées ou illustrées; cartes imprimées comportant des voeux ou des messages personnels, même illustrées, avec ou sans enveloppes, garnitures ou applications</v>
      </c>
      <c r="C4572">
        <v>17462040</v>
      </c>
      <c r="D4572">
        <v>2212</v>
      </c>
    </row>
    <row r="4573" spans="1:4" x14ac:dyDescent="0.25">
      <c r="A4573" t="str">
        <f>T("   491000")</f>
        <v xml:space="preserve">   491000</v>
      </c>
      <c r="B4573" t="str">
        <f>T("   Calendriers de tous genres, imprimés, y.c. les blocs de calendriers à effeuiller")</f>
        <v xml:space="preserve">   Calendriers de tous genres, imprimés, y.c. les blocs de calendriers à effeuiller</v>
      </c>
      <c r="C4573">
        <v>35211482</v>
      </c>
      <c r="D4573">
        <v>26819</v>
      </c>
    </row>
    <row r="4574" spans="1:4" x14ac:dyDescent="0.25">
      <c r="A4574" t="str">
        <f>T("   491110")</f>
        <v xml:space="preserve">   491110</v>
      </c>
      <c r="B4574" t="str">
        <f>T("   Imprimés publicitaires, catalogues commerciaux et simil.")</f>
        <v xml:space="preserve">   Imprimés publicitaires, catalogues commerciaux et simil.</v>
      </c>
      <c r="C4574">
        <v>25204310</v>
      </c>
      <c r="D4574">
        <v>8002.5</v>
      </c>
    </row>
    <row r="4575" spans="1:4" x14ac:dyDescent="0.25">
      <c r="A4575" t="str">
        <f>T("   491191")</f>
        <v xml:space="preserve">   491191</v>
      </c>
      <c r="B4575" t="str">
        <f>T("   Images, gravures et photographies, n.d.a.")</f>
        <v xml:space="preserve">   Images, gravures et photographies, n.d.a.</v>
      </c>
      <c r="C4575">
        <v>39613</v>
      </c>
      <c r="D4575">
        <v>7</v>
      </c>
    </row>
    <row r="4576" spans="1:4" x14ac:dyDescent="0.25">
      <c r="A4576" t="str">
        <f>T("   491199")</f>
        <v xml:space="preserve">   491199</v>
      </c>
      <c r="B4576" t="str">
        <f>T("   Imprimés, n.d.a.")</f>
        <v xml:space="preserve">   Imprimés, n.d.a.</v>
      </c>
      <c r="C4576">
        <v>83621683</v>
      </c>
      <c r="D4576">
        <v>16827</v>
      </c>
    </row>
    <row r="4577" spans="1:4" x14ac:dyDescent="0.25">
      <c r="A4577" t="str">
        <f>T("   500790")</f>
        <v xml:space="preserve">   500790</v>
      </c>
      <c r="B4577" t="str">
        <f>T("   Tissus de soie ou de déchets de soie (autres que la bourrette), contenant en prédominance, mais &lt; 85% de soie ou de déchets de soie")</f>
        <v xml:space="preserve">   Tissus de soie ou de déchets de soie (autres que la bourrette), contenant en prédominance, mais &lt; 85% de soie ou de déchets de soie</v>
      </c>
      <c r="C4577">
        <v>393000</v>
      </c>
      <c r="D4577">
        <v>732</v>
      </c>
    </row>
    <row r="4578" spans="1:4" x14ac:dyDescent="0.25">
      <c r="A4578" t="str">
        <f>T("   511190")</f>
        <v xml:space="preserve">   511190</v>
      </c>
      <c r="B4578" t="s">
        <v>221</v>
      </c>
      <c r="C4578">
        <v>8816759</v>
      </c>
      <c r="D4578">
        <v>840</v>
      </c>
    </row>
    <row r="4579" spans="1:4" x14ac:dyDescent="0.25">
      <c r="A4579" t="str">
        <f>T("   511290")</f>
        <v xml:space="preserve">   511290</v>
      </c>
      <c r="B4579" t="s">
        <v>222</v>
      </c>
      <c r="C4579">
        <v>7561251</v>
      </c>
      <c r="D4579">
        <v>1317</v>
      </c>
    </row>
    <row r="4580" spans="1:4" x14ac:dyDescent="0.25">
      <c r="A4580" t="str">
        <f>T("   520299")</f>
        <v xml:space="preserve">   520299</v>
      </c>
      <c r="B4580" t="str">
        <f>T("   Déchets de coton (à l'excl. des déchets de fils et des effilochés)")</f>
        <v xml:space="preserve">   Déchets de coton (à l'excl. des déchets de fils et des effilochés)</v>
      </c>
      <c r="C4580">
        <v>211638</v>
      </c>
      <c r="D4580">
        <v>26</v>
      </c>
    </row>
    <row r="4581" spans="1:4" x14ac:dyDescent="0.25">
      <c r="A4581" t="str">
        <f>T("   520851")</f>
        <v xml:space="preserve">   520851</v>
      </c>
      <c r="B4581" t="str">
        <f>T("   Tissus de coton, imprimés, à armure toile, contenant &gt;= 85% en poids de coton, d'un poids &lt;= 100 g/m²")</f>
        <v xml:space="preserve">   Tissus de coton, imprimés, à armure toile, contenant &gt;= 85% en poids de coton, d'un poids &lt;= 100 g/m²</v>
      </c>
      <c r="C4581">
        <v>150871</v>
      </c>
      <c r="D4581">
        <v>136</v>
      </c>
    </row>
    <row r="4582" spans="1:4" x14ac:dyDescent="0.25">
      <c r="A4582" t="str">
        <f>T("   520852")</f>
        <v xml:space="preserve">   520852</v>
      </c>
      <c r="B4582" t="str">
        <f>T("   Tissus de coton, imprimés, à armure toile, contenant &gt;= 85% en poids de coton, d'un poids &gt; 100 g/m² mais &lt;= 200 g/m²")</f>
        <v xml:space="preserve">   Tissus de coton, imprimés, à armure toile, contenant &gt;= 85% en poids de coton, d'un poids &gt; 100 g/m² mais &lt;= 200 g/m²</v>
      </c>
      <c r="C4582">
        <v>177183212</v>
      </c>
      <c r="D4582">
        <v>183074</v>
      </c>
    </row>
    <row r="4583" spans="1:4" x14ac:dyDescent="0.25">
      <c r="A4583" t="str">
        <f>T("   520859")</f>
        <v xml:space="preserve">   520859</v>
      </c>
      <c r="B4583" t="str">
        <f>T("   TISSUS DE COTON, IMPRIMÉS, CONTENANT &gt;= 85% EN POIDS DE COTON, D'UN POIDS &lt;= 200 G/M² (À L'EXCL. DES TISSUS À ARMURE TOILE)")</f>
        <v xml:space="preserve">   TISSUS DE COTON, IMPRIMÉS, CONTENANT &gt;= 85% EN POIDS DE COTON, D'UN POIDS &lt;= 200 G/M² (À L'EXCL. DES TISSUS À ARMURE TOILE)</v>
      </c>
      <c r="C4583">
        <v>4883453</v>
      </c>
      <c r="D4583">
        <v>1277</v>
      </c>
    </row>
    <row r="4584" spans="1:4" x14ac:dyDescent="0.25">
      <c r="A4584" t="str">
        <f>T("   520919")</f>
        <v xml:space="preserve">   520919</v>
      </c>
      <c r="B4584" t="str">
        <f>T("   Tissus de coton, écrus, contenant &gt;= 85% en poids de coton, d'un poids &gt; 200 g/m² (à l'excl. des tissus à armure toile ou à armure sergé [y.c. le croisé] d'un rapport d'armure &lt;= 4)")</f>
        <v xml:space="preserve">   Tissus de coton, écrus, contenant &gt;= 85% en poids de coton, d'un poids &gt; 200 g/m² (à l'excl. des tissus à armure toile ou à armure sergé [y.c. le croisé] d'un rapport d'armure &lt;= 4)</v>
      </c>
      <c r="C4584">
        <v>300000</v>
      </c>
      <c r="D4584">
        <v>150</v>
      </c>
    </row>
    <row r="4585" spans="1:4" x14ac:dyDescent="0.25">
      <c r="A4585" t="str">
        <f>T("   540754")</f>
        <v xml:space="preserve">   540754</v>
      </c>
      <c r="B4585" t="str">
        <f>T("   Tissus imprimés, obtenus à partir de fils contenant &gt;= 85% en poids de filaments de polyester texturés, y.c. les tissus obtenus à partir des monofilaments du n° 5404")</f>
        <v xml:space="preserve">   Tissus imprimés, obtenus à partir de fils contenant &gt;= 85% en poids de filaments de polyester texturés, y.c. les tissus obtenus à partir des monofilaments du n° 5404</v>
      </c>
      <c r="C4585">
        <v>286655</v>
      </c>
      <c r="D4585">
        <v>69</v>
      </c>
    </row>
    <row r="4586" spans="1:4" x14ac:dyDescent="0.25">
      <c r="A4586" t="str">
        <f>T("   540810")</f>
        <v xml:space="preserve">   540810</v>
      </c>
      <c r="B4586" t="str">
        <f>T("   Tissus obtenus à partir de fils à haute ténacité de rayonne viscose, y.c. les tissus obtenus à partir des monofilaments du n° 5405")</f>
        <v xml:space="preserve">   Tissus obtenus à partir de fils à haute ténacité de rayonne viscose, y.c. les tissus obtenus à partir des monofilaments du n° 5405</v>
      </c>
      <c r="C4586">
        <v>3150000</v>
      </c>
      <c r="D4586">
        <v>3500</v>
      </c>
    </row>
    <row r="4587" spans="1:4" x14ac:dyDescent="0.25">
      <c r="A4587" t="str">
        <f>T("   551329")</f>
        <v xml:space="preserve">   551329</v>
      </c>
      <c r="B4587" t="str">
        <f>T("   Tissus, teints, de fibres synthétiques discontinues, contenant en prédominance, mais &lt; 85% en poids de ces fibres, mélangés principalement ou uniquement avec du coton, d'un poids &lt;= 170 g/m² (à l'excl. des tissus de fibres discontinues de polyester)")</f>
        <v xml:space="preserve">   Tissus, teints, de fibres synthétiques discontinues, contenant en prédominance, mais &lt; 85% en poids de ces fibres, mélangés principalement ou uniquement avec du coton, d'un poids &lt;= 170 g/m² (à l'excl. des tissus de fibres discontinues de polyester)</v>
      </c>
      <c r="C4587">
        <v>150000</v>
      </c>
      <c r="D4587">
        <v>20</v>
      </c>
    </row>
    <row r="4588" spans="1:4" x14ac:dyDescent="0.25">
      <c r="A4588" t="str">
        <f>T("   551429")</f>
        <v xml:space="preserve">   551429</v>
      </c>
      <c r="B4588" t="str">
        <f>T("   Tissus, teints, de fibres synthétiques discontinues, contenant en prédominance, mais &lt; 85% en poids de ces fibres, mélangés principalement ou uniquement avec du coton, d'un poids &gt; 170 g/m² (à l'excl. des tissus de fibres discontinues de polyester)")</f>
        <v xml:space="preserve">   Tissus, teints, de fibres synthétiques discontinues, contenant en prédominance, mais &lt; 85% en poids de ces fibres, mélangés principalement ou uniquement avec du coton, d'un poids &gt; 170 g/m² (à l'excl. des tissus de fibres discontinues de polyester)</v>
      </c>
      <c r="C4588">
        <v>7368399</v>
      </c>
      <c r="D4588">
        <v>1287</v>
      </c>
    </row>
    <row r="4589" spans="1:4" x14ac:dyDescent="0.25">
      <c r="A4589" t="str">
        <f>T("   560110")</f>
        <v xml:space="preserve">   560110</v>
      </c>
      <c r="B4589" t="str">
        <f>T("   Serviettes et tampons hygiéniques, couches pour bébés et articles hygiéniques simil., en ouates")</f>
        <v xml:space="preserve">   Serviettes et tampons hygiéniques, couches pour bébés et articles hygiéniques simil., en ouates</v>
      </c>
      <c r="C4589">
        <v>9228086</v>
      </c>
      <c r="D4589">
        <v>8377</v>
      </c>
    </row>
    <row r="4590" spans="1:4" x14ac:dyDescent="0.25">
      <c r="A4590" t="str">
        <f>T("   560121")</f>
        <v xml:space="preserve">   560121</v>
      </c>
      <c r="B4590" t="s">
        <v>241</v>
      </c>
      <c r="C4590">
        <v>26846149</v>
      </c>
      <c r="D4590">
        <v>10714</v>
      </c>
    </row>
    <row r="4591" spans="1:4" x14ac:dyDescent="0.25">
      <c r="A4591" t="str">
        <f>T("   560210")</f>
        <v xml:space="preserve">   560210</v>
      </c>
      <c r="B4591" t="str">
        <f>T("   Feutres aiguilletés et produits cousus-tricotés, même imprégnés, enduits, recouverts ou stratifiés, n.d.a.")</f>
        <v xml:space="preserve">   Feutres aiguilletés et produits cousus-tricotés, même imprégnés, enduits, recouverts ou stratifiés, n.d.a.</v>
      </c>
      <c r="C4591">
        <v>2713852</v>
      </c>
      <c r="D4591">
        <v>168</v>
      </c>
    </row>
    <row r="4592" spans="1:4" x14ac:dyDescent="0.25">
      <c r="A4592" t="str">
        <f>T("   560290")</f>
        <v xml:space="preserve">   560290</v>
      </c>
      <c r="B4592" t="str">
        <f>T("   Feutres, imprégnés, enduits, recouverts ou stratifiés (à l'excl. des feutres aiguilletés et des produits cousus-tricotés)")</f>
        <v xml:space="preserve">   Feutres, imprégnés, enduits, recouverts ou stratifiés (à l'excl. des feutres aiguilletés et des produits cousus-tricotés)</v>
      </c>
      <c r="C4592">
        <v>2009861</v>
      </c>
      <c r="D4592">
        <v>210</v>
      </c>
    </row>
    <row r="4593" spans="1:4" x14ac:dyDescent="0.25">
      <c r="A4593" t="str">
        <f>T("   560311")</f>
        <v xml:space="preserve">   560311</v>
      </c>
      <c r="B4593" t="str">
        <f>T("   Nontissés, même imprégnés, enduits, recouverts ou stratifiés, n.d.a., de filaments synthétiques ou artificiels, d'un poids &lt;= 25 g/m²")</f>
        <v xml:space="preserve">   Nontissés, même imprégnés, enduits, recouverts ou stratifiés, n.d.a., de filaments synthétiques ou artificiels, d'un poids &lt;= 25 g/m²</v>
      </c>
      <c r="C4593">
        <v>166614</v>
      </c>
      <c r="D4593">
        <v>228</v>
      </c>
    </row>
    <row r="4594" spans="1:4" x14ac:dyDescent="0.25">
      <c r="A4594" t="str">
        <f>T("   560314")</f>
        <v xml:space="preserve">   560314</v>
      </c>
      <c r="B4594" t="str">
        <f>T("   Nontissés, même imprégnés, enduits, recouverts ou stratifiés, n.d.a., de filaments synthétiques ou artificiels, d'un poids &gt; 150 g/m²")</f>
        <v xml:space="preserve">   Nontissés, même imprégnés, enduits, recouverts ou stratifiés, n.d.a., de filaments synthétiques ou artificiels, d'un poids &gt; 150 g/m²</v>
      </c>
      <c r="C4594">
        <v>12055888</v>
      </c>
      <c r="D4594">
        <v>2089</v>
      </c>
    </row>
    <row r="4595" spans="1:4" x14ac:dyDescent="0.25">
      <c r="A4595" t="str">
        <f>T("   560490")</f>
        <v xml:space="preserve">   560490</v>
      </c>
      <c r="B4595" t="str">
        <f>T("   FILS TEXTILES, LAMES ET FORMES SIMIL. DU N° 5404 OU 5405, IMPRÉGNÉS, ENDUITS, RECOUVERTS OU GAINÉS DE CAOUTCHOUC OU DE MATIÈRE PLASTIQUE (À L'EXCL. DES IMITATIONS DE CATGUT MUNIES D'HAMEÇONS OU AUTREMENT MONTÉES EN LIGNES)")</f>
        <v xml:space="preserve">   FILS TEXTILES, LAMES ET FORMES SIMIL. DU N° 5404 OU 5405, IMPRÉGNÉS, ENDUITS, RECOUVERTS OU GAINÉS DE CAOUTCHOUC OU DE MATIÈRE PLASTIQUE (À L'EXCL. DES IMITATIONS DE CATGUT MUNIES D'HAMEÇONS OU AUTREMENT MONTÉES EN LIGNES)</v>
      </c>
      <c r="C4595">
        <v>11807</v>
      </c>
      <c r="D4595">
        <v>9</v>
      </c>
    </row>
    <row r="4596" spans="1:4" x14ac:dyDescent="0.25">
      <c r="A4596" t="str">
        <f>T("   560749")</f>
        <v xml:space="preserve">   560749</v>
      </c>
      <c r="B4596" t="str">
        <f>T("   Ficelles, cordes et cordages, de polyéthylène ou de polypropylène, tressés ou non, même imprégnés, enduits, recouverts ou gainés de caoutchouc ou de matière plastique (à l'excl. les ficelles lieuses ou botteleuses)")</f>
        <v xml:space="preserve">   Ficelles, cordes et cordages, de polyéthylène ou de polypropylène, tressés ou non, même imprégnés, enduits, recouverts ou gainés de caoutchouc ou de matière plastique (à l'excl. les ficelles lieuses ou botteleuses)</v>
      </c>
      <c r="C4596">
        <v>4659668</v>
      </c>
      <c r="D4596">
        <v>990</v>
      </c>
    </row>
    <row r="4597" spans="1:4" x14ac:dyDescent="0.25">
      <c r="A4597" t="str">
        <f>T("   560790")</f>
        <v xml:space="preserve">   560790</v>
      </c>
      <c r="B4597" t="str">
        <f>T("   FICELLES, CORDES ET CORDAGES, TRESSÉS OU NON, MÊME IMPRÉGNÉS, ENDUITS, RECOUVERTS OU GAINÉS DE CAOUTCHOUC OU DE MATIÈRE PLASTIQUE (À L'EXCL. DES PRODUITS DE FIBRES SYNTHÉTIQUES AINSI QUE DE SISAL OU D'AUTRES FIBRES TEXTILES DU GENRE 'AGAVE')")</f>
        <v xml:space="preserve">   FICELLES, CORDES ET CORDAGES, TRESSÉS OU NON, MÊME IMPRÉGNÉS, ENDUITS, RECOUVERTS OU GAINÉS DE CAOUTCHOUC OU DE MATIÈRE PLASTIQUE (À L'EXCL. DES PRODUITS DE FIBRES SYNTHÉTIQUES AINSI QUE DE SISAL OU D'AUTRES FIBRES TEXTILES DU GENRE 'AGAVE')</v>
      </c>
      <c r="C4597">
        <v>563315</v>
      </c>
      <c r="D4597">
        <v>1252</v>
      </c>
    </row>
    <row r="4598" spans="1:4" x14ac:dyDescent="0.25">
      <c r="A4598" t="str">
        <f>T("   560900")</f>
        <v xml:space="preserve">   560900</v>
      </c>
      <c r="B4598" t="str">
        <f>T("   Articles en fils, lames ou formes simil. du n° 5404 ou 5405, ficelles, cordes ou cordages du n° 5607, n.d.a.")</f>
        <v xml:space="preserve">   Articles en fils, lames ou formes simil. du n° 5404 ou 5405, ficelles, cordes ou cordages du n° 5607, n.d.a.</v>
      </c>
      <c r="C4598">
        <v>7467062</v>
      </c>
      <c r="D4598">
        <v>191</v>
      </c>
    </row>
    <row r="4599" spans="1:4" x14ac:dyDescent="0.25">
      <c r="A4599" t="str">
        <f>T("   570220")</f>
        <v xml:space="preserve">   570220</v>
      </c>
      <c r="B4599" t="str">
        <f>T("   Revêtements de sol en coco, tissés, même confectionnés")</f>
        <v xml:space="preserve">   Revêtements de sol en coco, tissés, même confectionnés</v>
      </c>
      <c r="C4599">
        <v>1391292</v>
      </c>
      <c r="D4599">
        <v>531</v>
      </c>
    </row>
    <row r="4600" spans="1:4" x14ac:dyDescent="0.25">
      <c r="A4600" t="str">
        <f>T("   570299")</f>
        <v xml:space="preserve">   570299</v>
      </c>
      <c r="B4600" t="s">
        <v>248</v>
      </c>
      <c r="C4600">
        <v>1784212</v>
      </c>
      <c r="D4600">
        <v>538</v>
      </c>
    </row>
    <row r="4601" spans="1:4" x14ac:dyDescent="0.25">
      <c r="A4601" t="str">
        <f>T("   570330")</f>
        <v xml:space="preserve">   570330</v>
      </c>
      <c r="B4601" t="str">
        <f>T("   Tapis et autres revêtements de sol, de matières textiles synthétiques ou artificielles, touffetés, même confectionnés (à l'excl. des articles en nylon ou en autres polyamides)")</f>
        <v xml:space="preserve">   Tapis et autres revêtements de sol, de matières textiles synthétiques ou artificielles, touffetés, même confectionnés (à l'excl. des articles en nylon ou en autres polyamides)</v>
      </c>
      <c r="C4601">
        <v>1275186</v>
      </c>
      <c r="D4601">
        <v>800</v>
      </c>
    </row>
    <row r="4602" spans="1:4" x14ac:dyDescent="0.25">
      <c r="A4602" t="str">
        <f>T("   570390")</f>
        <v xml:space="preserve">   570390</v>
      </c>
      <c r="B4602" t="str">
        <f>T("   Tapis et autres revêtements de sol, de matières textiles végétales ou de poils grossiers, touffetés, même confectionnés")</f>
        <v xml:space="preserve">   Tapis et autres revêtements de sol, de matières textiles végétales ou de poils grossiers, touffetés, même confectionnés</v>
      </c>
      <c r="C4602">
        <v>118073</v>
      </c>
      <c r="D4602">
        <v>68</v>
      </c>
    </row>
    <row r="4603" spans="1:4" x14ac:dyDescent="0.25">
      <c r="A4603" t="str">
        <f>T("   570500")</f>
        <v xml:space="preserve">   570500</v>
      </c>
      <c r="B4603" t="str">
        <f>T("   Tapis et autres revêtements de sol en matières textiles, même confectionnés (à l'excl. à points noués ou enroulés, tissés, touffetés ou en feutre)")</f>
        <v xml:space="preserve">   Tapis et autres revêtements de sol en matières textiles, même confectionnés (à l'excl. à points noués ou enroulés, tissés, touffetés ou en feutre)</v>
      </c>
      <c r="C4603">
        <v>28565220</v>
      </c>
      <c r="D4603">
        <v>17551</v>
      </c>
    </row>
    <row r="4604" spans="1:4" x14ac:dyDescent="0.25">
      <c r="A4604" t="str">
        <f>T("   580500")</f>
        <v xml:space="preserve">   580500</v>
      </c>
      <c r="B4604" t="s">
        <v>249</v>
      </c>
      <c r="C4604">
        <v>273516</v>
      </c>
      <c r="D4604">
        <v>20</v>
      </c>
    </row>
    <row r="4605" spans="1:4" x14ac:dyDescent="0.25">
      <c r="A4605" t="str">
        <f>T("   580632")</f>
        <v xml:space="preserve">   580632</v>
      </c>
      <c r="B4605" t="str">
        <f>T("   RUBANERIE, TISSÉE, DE FIBRES SYNTHÉTIQUES OU ARTIFICIELLES, D'UNE LARGEUR &lt;= 30 CM, N.D.A.")</f>
        <v xml:space="preserve">   RUBANERIE, TISSÉE, DE FIBRES SYNTHÉTIQUES OU ARTIFICIELLES, D'UNE LARGEUR &lt;= 30 CM, N.D.A.</v>
      </c>
      <c r="C4605">
        <v>6016465</v>
      </c>
      <c r="D4605">
        <v>343</v>
      </c>
    </row>
    <row r="4606" spans="1:4" x14ac:dyDescent="0.25">
      <c r="A4606" t="str">
        <f>T("   581010")</f>
        <v xml:space="preserve">   581010</v>
      </c>
      <c r="B4606" t="str">
        <f>T("   Broderies chimiques ou aériennes, sur support de matières textiles, et broderies à fond découpé, en pièces, en bandes ou en motifs")</f>
        <v xml:space="preserve">   Broderies chimiques ou aériennes, sur support de matières textiles, et broderies à fond découpé, en pièces, en bandes ou en motifs</v>
      </c>
      <c r="C4606">
        <v>318000</v>
      </c>
      <c r="D4606">
        <v>192</v>
      </c>
    </row>
    <row r="4607" spans="1:4" x14ac:dyDescent="0.25">
      <c r="A4607" t="str">
        <f>T("   590110")</f>
        <v xml:space="preserve">   590110</v>
      </c>
      <c r="B4607" t="str">
        <f>T("   Tissus enduits de colle ou de matières amylacées, des types utilisés pour la reliure, le cartonnage, la gainerie ou usages simil.")</f>
        <v xml:space="preserve">   Tissus enduits de colle ou de matières amylacées, des types utilisés pour la reliure, le cartonnage, la gainerie ou usages simil.</v>
      </c>
      <c r="C4607">
        <v>327980</v>
      </c>
      <c r="D4607">
        <v>633</v>
      </c>
    </row>
    <row r="4608" spans="1:4" x14ac:dyDescent="0.25">
      <c r="A4608" t="str">
        <f>T("   590390")</f>
        <v xml:space="preserve">   590390</v>
      </c>
      <c r="B4608" t="s">
        <v>253</v>
      </c>
      <c r="C4608">
        <v>20362656</v>
      </c>
      <c r="D4608">
        <v>16062</v>
      </c>
    </row>
    <row r="4609" spans="1:4" x14ac:dyDescent="0.25">
      <c r="A4609" t="str">
        <f>T("   590700")</f>
        <v xml:space="preserve">   590700</v>
      </c>
      <c r="B4609" t="str">
        <f>T("   Tissus imprégnés, enduits ou recouverts, n.d.a.; toiles peintes pour décors de théâtres, fonds d'atelier ou usages analogues")</f>
        <v xml:space="preserve">   Tissus imprégnés, enduits ou recouverts, n.d.a.; toiles peintes pour décors de théâtres, fonds d'atelier ou usages analogues</v>
      </c>
      <c r="C4609">
        <v>868109</v>
      </c>
      <c r="D4609">
        <v>113</v>
      </c>
    </row>
    <row r="4610" spans="1:4" x14ac:dyDescent="0.25">
      <c r="A4610" t="str">
        <f>T("   590900")</f>
        <v xml:space="preserve">   590900</v>
      </c>
      <c r="B4610" t="str">
        <f>T("   Tuyaux pour pompes et tuyaux simil., en matières textiles, même imprégnés ou enduits, même avec armatures ou accessoires en autres matières")</f>
        <v xml:space="preserve">   Tuyaux pour pompes et tuyaux simil., en matières textiles, même imprégnés ou enduits, même avec armatures ou accessoires en autres matières</v>
      </c>
      <c r="C4610">
        <v>594956</v>
      </c>
      <c r="D4610">
        <v>194</v>
      </c>
    </row>
    <row r="4611" spans="1:4" x14ac:dyDescent="0.25">
      <c r="A4611" t="str">
        <f>T("   591110")</f>
        <v xml:space="preserve">   591110</v>
      </c>
      <c r="B4611" t="s">
        <v>257</v>
      </c>
      <c r="C4611">
        <v>7167675</v>
      </c>
      <c r="D4611">
        <v>8500</v>
      </c>
    </row>
    <row r="4612" spans="1:4" x14ac:dyDescent="0.25">
      <c r="A4612" t="str">
        <f>T("   591132")</f>
        <v xml:space="preserve">   591132</v>
      </c>
      <c r="B4612" t="str">
        <f>T("   TISSUS ET FEUTRES SANS FIN OU MUNIS DE MOYENS DE JONCTION, DES TYPES UTILISÉS SUR LES MACHINES À PAPIER OU SUR DES MACHINES SIMIL. [À PÂTE, À AMIANTE-CIMENT, P.EX.], D'UN POIDS &gt;= 650 G/M²")</f>
        <v xml:space="preserve">   TISSUS ET FEUTRES SANS FIN OU MUNIS DE MOYENS DE JONCTION, DES TYPES UTILISÉS SUR LES MACHINES À PAPIER OU SUR DES MACHINES SIMIL. [À PÂTE, À AMIANTE-CIMENT, P.EX.], D'UN POIDS &gt;= 650 G/M²</v>
      </c>
      <c r="C4612">
        <v>3884043</v>
      </c>
      <c r="D4612">
        <v>307</v>
      </c>
    </row>
    <row r="4613" spans="1:4" x14ac:dyDescent="0.25">
      <c r="A4613" t="str">
        <f>T("   591140")</f>
        <v xml:space="preserve">   591140</v>
      </c>
      <c r="B4613" t="str">
        <f>T("   Etreindelles et tissus épais des types utilisés sur des presses d'huilerie ou pour des usages techniques analogues, y.c. ceux en cheveux")</f>
        <v xml:space="preserve">   Etreindelles et tissus épais des types utilisés sur des presses d'huilerie ou pour des usages techniques analogues, y.c. ceux en cheveux</v>
      </c>
      <c r="C4613">
        <v>3513977</v>
      </c>
      <c r="D4613">
        <v>110</v>
      </c>
    </row>
    <row r="4614" spans="1:4" x14ac:dyDescent="0.25">
      <c r="A4614" t="str">
        <f>T("   591190")</f>
        <v xml:space="preserve">   591190</v>
      </c>
      <c r="B4614" t="str">
        <f>T("   Produits et articles textiles pour usages techniques, en matières textiles, visés à la note 7 du présent chapitre, n.d.a.")</f>
        <v xml:space="preserve">   Produits et articles textiles pour usages techniques, en matières textiles, visés à la note 7 du présent chapitre, n.d.a.</v>
      </c>
      <c r="C4614">
        <v>14860119</v>
      </c>
      <c r="D4614">
        <v>1012</v>
      </c>
    </row>
    <row r="4615" spans="1:4" x14ac:dyDescent="0.25">
      <c r="A4615" t="str">
        <f>T("   610329")</f>
        <v xml:space="preserve">   610329</v>
      </c>
      <c r="B4615" t="str">
        <f>T("   Ensembles en bonneterie, de matières textiles, pour hommes et garçonnets (sauf de laine, poils fins, coton, fibres synthétiques et sauf ensembles de ski, maillots, culottes et slips de bain)")</f>
        <v xml:space="preserve">   Ensembles en bonneterie, de matières textiles, pour hommes et garçonnets (sauf de laine, poils fins, coton, fibres synthétiques et sauf ensembles de ski, maillots, culottes et slips de bain)</v>
      </c>
      <c r="C4615">
        <v>107268</v>
      </c>
      <c r="D4615">
        <v>100</v>
      </c>
    </row>
    <row r="4616" spans="1:4" x14ac:dyDescent="0.25">
      <c r="A4616" t="str">
        <f>T("   610342")</f>
        <v xml:space="preserve">   610342</v>
      </c>
      <c r="B4616" t="str">
        <f>T("   PANTALONS, Y.C. KNICKERS ET PANTALONS SIMIL., SALOPETTES À BRETELLES, CULOTTES ET SHORTS, EN BONNETERIE, DE COTON, POUR HOMMES OU GARÇONNETS (SAUF CALETHONS ET SLIPS DE BAIN)")</f>
        <v xml:space="preserve">   PANTALONS, Y.C. KNICKERS ET PANTALONS SIMIL., SALOPETTES À BRETELLES, CULOTTES ET SHORTS, EN BONNETERIE, DE COTON, POUR HOMMES OU GARÇONNETS (SAUF CALETHONS ET SLIPS DE BAIN)</v>
      </c>
      <c r="C4616">
        <v>2760937</v>
      </c>
      <c r="D4616">
        <v>156</v>
      </c>
    </row>
    <row r="4617" spans="1:4" x14ac:dyDescent="0.25">
      <c r="A4617" t="str">
        <f>T("   610349")</f>
        <v xml:space="preserve">   610349</v>
      </c>
      <c r="B4617" t="str">
        <f>T("   PANTALONS, Y.C. KNICKERS ET PANTALONS SIMIL., SALOPETTES À BRETELLES, CULOTTES ET SHORTS, EN BONNETERIE, DE MATIÈRES TEXTILES, POUR HOMMES OU GARÇONNETS (SAUF DE LAINE, POILS FINS, COTON OU FIBRES SYNTHÉTIQUES ET SAUF CALETHONS ET SLIPS DE BAIN)")</f>
        <v xml:space="preserve">   PANTALONS, Y.C. KNICKERS ET PANTALONS SIMIL., SALOPETTES À BRETELLES, CULOTTES ET SHORTS, EN BONNETERIE, DE MATIÈRES TEXTILES, POUR HOMMES OU GARÇONNETS (SAUF DE LAINE, POILS FINS, COTON OU FIBRES SYNTHÉTIQUES ET SAUF CALETHONS ET SLIPS DE BAIN)</v>
      </c>
      <c r="C4617">
        <v>1418186</v>
      </c>
      <c r="D4617">
        <v>273</v>
      </c>
    </row>
    <row r="4618" spans="1:4" x14ac:dyDescent="0.25">
      <c r="A4618" t="str">
        <f>T("   610412")</f>
        <v xml:space="preserve">   610412</v>
      </c>
      <c r="B4618" t="str">
        <f>T("   Costumes tailleurs en bonneterie, de coton, pour femmes ou fillettes (sauf combinaisons de ski et maillots, culottes et slips de bain)")</f>
        <v xml:space="preserve">   Costumes tailleurs en bonneterie, de coton, pour femmes ou fillettes (sauf combinaisons de ski et maillots, culottes et slips de bain)</v>
      </c>
      <c r="C4618">
        <v>2755031</v>
      </c>
      <c r="D4618">
        <v>150</v>
      </c>
    </row>
    <row r="4619" spans="1:4" x14ac:dyDescent="0.25">
      <c r="A4619" t="str">
        <f>T("   610469")</f>
        <v xml:space="preserve">   610469</v>
      </c>
      <c r="B4619" t="s">
        <v>261</v>
      </c>
      <c r="C4619">
        <v>2441416</v>
      </c>
      <c r="D4619">
        <v>1090</v>
      </c>
    </row>
    <row r="4620" spans="1:4" x14ac:dyDescent="0.25">
      <c r="A4620" t="str">
        <f>T("   610510")</f>
        <v xml:space="preserve">   610510</v>
      </c>
      <c r="B4620" t="str">
        <f>T("   Chemises et chemisettes, en bonneterie, de coton, pour hommes ou garçonnets (sauf chemises de nuit, T-shirts et maillots de corps)")</f>
        <v xml:space="preserve">   Chemises et chemisettes, en bonneterie, de coton, pour hommes ou garçonnets (sauf chemises de nuit, T-shirts et maillots de corps)</v>
      </c>
      <c r="C4620">
        <v>3649673</v>
      </c>
      <c r="D4620">
        <v>3285</v>
      </c>
    </row>
    <row r="4621" spans="1:4" x14ac:dyDescent="0.25">
      <c r="A4621" t="str">
        <f>T("   610590")</f>
        <v xml:space="preserve">   610590</v>
      </c>
      <c r="B4621" t="str">
        <f>T("   Chemises et chemisettes, en bonneterie, de matières textiles, pour hommes ou garçonnets (sauf de coton, fibres synthétiques ou artificielles et sauf chemises de nuit, T-shirts et maillots de corps)")</f>
        <v xml:space="preserve">   Chemises et chemisettes, en bonneterie, de matières textiles, pour hommes ou garçonnets (sauf de coton, fibres synthétiques ou artificielles et sauf chemises de nuit, T-shirts et maillots de corps)</v>
      </c>
      <c r="C4621">
        <v>1144645</v>
      </c>
      <c r="D4621">
        <v>645</v>
      </c>
    </row>
    <row r="4622" spans="1:4" x14ac:dyDescent="0.25">
      <c r="A4622" t="str">
        <f>T("   610610")</f>
        <v xml:space="preserve">   610610</v>
      </c>
      <c r="B4622" t="str">
        <f>T("   Chemisiers, blouses, blouses-chemisiers et chemisettes, en bonneterie, de coton, pour femmes ou fillettes (sauf T-shirts et gilets de corps)")</f>
        <v xml:space="preserve">   Chemisiers, blouses, blouses-chemisiers et chemisettes, en bonneterie, de coton, pour femmes ou fillettes (sauf T-shirts et gilets de corps)</v>
      </c>
      <c r="C4622">
        <v>2207962</v>
      </c>
      <c r="D4622">
        <v>333</v>
      </c>
    </row>
    <row r="4623" spans="1:4" x14ac:dyDescent="0.25">
      <c r="A4623" t="str">
        <f>T("   610690")</f>
        <v xml:space="preserve">   610690</v>
      </c>
      <c r="B4623" t="str">
        <f>T("   Chemisiers, blouses, blouses-chemisiers et chemisettes, en bonneterie, de matières textiles, pour femmes ou fillettes (sauf de coton, fibres synthétiques ou artificielles et sauf T-shirts et gilets de corps)")</f>
        <v xml:space="preserve">   Chemisiers, blouses, blouses-chemisiers et chemisettes, en bonneterie, de matières textiles, pour femmes ou fillettes (sauf de coton, fibres synthétiques ou artificielles et sauf T-shirts et gilets de corps)</v>
      </c>
      <c r="C4623">
        <v>1441145</v>
      </c>
      <c r="D4623">
        <v>1058</v>
      </c>
    </row>
    <row r="4624" spans="1:4" x14ac:dyDescent="0.25">
      <c r="A4624" t="str">
        <f>T("   610721")</f>
        <v xml:space="preserve">   610721</v>
      </c>
      <c r="B4624" t="str">
        <f>T("   Chemises de nuit et pyjamas, en bonneterie, de coton, pour hommes ou garçonnets (sauf maillots de corps)")</f>
        <v xml:space="preserve">   Chemises de nuit et pyjamas, en bonneterie, de coton, pour hommes ou garçonnets (sauf maillots de corps)</v>
      </c>
      <c r="C4624">
        <v>2307668</v>
      </c>
      <c r="D4624">
        <v>142</v>
      </c>
    </row>
    <row r="4625" spans="1:4" x14ac:dyDescent="0.25">
      <c r="A4625" t="str">
        <f>T("   610799")</f>
        <v xml:space="preserve">   610799</v>
      </c>
      <c r="B4625" t="str">
        <f>T("   Peignoirs de bain, robes de chambre et articles simil., en bonneterie, de matières textiles, pour hommes ou garçonnets (sauf de coton ou fibres synthétiques ou artificielles)")</f>
        <v xml:space="preserve">   Peignoirs de bain, robes de chambre et articles simil., en bonneterie, de matières textiles, pour hommes ou garçonnets (sauf de coton ou fibres synthétiques ou artificielles)</v>
      </c>
      <c r="C4625">
        <v>70000</v>
      </c>
      <c r="D4625">
        <v>34</v>
      </c>
    </row>
    <row r="4626" spans="1:4" x14ac:dyDescent="0.25">
      <c r="A4626" t="str">
        <f>T("   610829")</f>
        <v xml:space="preserve">   610829</v>
      </c>
      <c r="B4626" t="str">
        <f>T("   Slips et culottes, en bonneterie, de matières textiles, pour femmes ou fillettes (sauf de coton ou fibres synthétiques ou artificielles)")</f>
        <v xml:space="preserve">   Slips et culottes, en bonneterie, de matières textiles, pour femmes ou fillettes (sauf de coton ou fibres synthétiques ou artificielles)</v>
      </c>
      <c r="C4626">
        <v>864555</v>
      </c>
      <c r="D4626">
        <v>61</v>
      </c>
    </row>
    <row r="4627" spans="1:4" x14ac:dyDescent="0.25">
      <c r="A4627" t="str">
        <f>T("   610831")</f>
        <v xml:space="preserve">   610831</v>
      </c>
      <c r="B4627" t="str">
        <f>T("   Chemises de nuit et pyjamas, en bonneterie, de coton, pour femmes ou fillettes (sauf T-shirts, gilets de corps et déshabillés)")</f>
        <v xml:space="preserve">   Chemises de nuit et pyjamas, en bonneterie, de coton, pour femmes ou fillettes (sauf T-shirts, gilets de corps et déshabillés)</v>
      </c>
      <c r="C4627">
        <v>1602510</v>
      </c>
      <c r="D4627">
        <v>142</v>
      </c>
    </row>
    <row r="4628" spans="1:4" x14ac:dyDescent="0.25">
      <c r="A4628" t="str">
        <f>T("   610839")</f>
        <v xml:space="preserve">   610839</v>
      </c>
      <c r="B4628" t="str">
        <f>T("   Chemises de nuit et pyjamas, en bonneterie, de matières textiles, pour femmes ou fillettes (sauf de coton ou de fibres synthétiques ou artificielles et sauf T-shirts, gilets de corps et déshabillés)")</f>
        <v xml:space="preserve">   Chemises de nuit et pyjamas, en bonneterie, de matières textiles, pour femmes ou fillettes (sauf de coton ou de fibres synthétiques ou artificielles et sauf T-shirts, gilets de corps et déshabillés)</v>
      </c>
      <c r="C4628">
        <v>3198897</v>
      </c>
      <c r="D4628">
        <v>1020</v>
      </c>
    </row>
    <row r="4629" spans="1:4" x14ac:dyDescent="0.25">
      <c r="A4629" t="str">
        <f>T("   610910")</f>
        <v xml:space="preserve">   610910</v>
      </c>
      <c r="B4629" t="str">
        <f>T("   T-shirts et maillots de corps, en bonneterie, de coton,")</f>
        <v xml:space="preserve">   T-shirts et maillots de corps, en bonneterie, de coton,</v>
      </c>
      <c r="C4629">
        <v>31687292</v>
      </c>
      <c r="D4629">
        <v>3139</v>
      </c>
    </row>
    <row r="4630" spans="1:4" x14ac:dyDescent="0.25">
      <c r="A4630" t="str">
        <f>T("   610990")</f>
        <v xml:space="preserve">   610990</v>
      </c>
      <c r="B4630" t="str">
        <f>T("   T-shirts et maillots de corps, en bonneterie, de matières textiles (sauf de coton)")</f>
        <v xml:space="preserve">   T-shirts et maillots de corps, en bonneterie, de matières textiles (sauf de coton)</v>
      </c>
      <c r="C4630">
        <v>6495913</v>
      </c>
      <c r="D4630">
        <v>4764.5</v>
      </c>
    </row>
    <row r="4631" spans="1:4" x14ac:dyDescent="0.25">
      <c r="A4631" t="str">
        <f>T("   611120")</f>
        <v xml:space="preserve">   611120</v>
      </c>
      <c r="B4631" t="str">
        <f>T("   Vêtements et accessoires du vêtement, en bonneterie, de coton, pour bébés (sauf gants et bonnets)")</f>
        <v xml:space="preserve">   Vêtements et accessoires du vêtement, en bonneterie, de coton, pour bébés (sauf gants et bonnets)</v>
      </c>
      <c r="C4631">
        <v>50000</v>
      </c>
      <c r="D4631">
        <v>162</v>
      </c>
    </row>
    <row r="4632" spans="1:4" x14ac:dyDescent="0.25">
      <c r="A4632" t="str">
        <f>T("   611190")</f>
        <v xml:space="preserve">   611190</v>
      </c>
      <c r="B4632" t="str">
        <f>T("   VÊTEMENTS ET ACCESSOIRES DU VÊTEMENT, EN BONNETERIE, DE MATIÈRES TEXTILES, POUR BÉBÉS (SAUF DE COTON, FIBRES SYNTHÉTIQUES ET SAUF BONNETS)")</f>
        <v xml:space="preserve">   VÊTEMENTS ET ACCESSOIRES DU VÊTEMENT, EN BONNETERIE, DE MATIÈRES TEXTILES, POUR BÉBÉS (SAUF DE COTON, FIBRES SYNTHÉTIQUES ET SAUF BONNETS)</v>
      </c>
      <c r="C4632">
        <v>429654</v>
      </c>
      <c r="D4632">
        <v>54</v>
      </c>
    </row>
    <row r="4633" spans="1:4" x14ac:dyDescent="0.25">
      <c r="A4633" t="str">
        <f>T("   611220")</f>
        <v xml:space="preserve">   611220</v>
      </c>
      <c r="B4633" t="str">
        <f>T("   Combinaisons et ensembles de ski, en bonneterie")</f>
        <v xml:space="preserve">   Combinaisons et ensembles de ski, en bonneterie</v>
      </c>
      <c r="C4633">
        <v>150000</v>
      </c>
      <c r="D4633">
        <v>365</v>
      </c>
    </row>
    <row r="4634" spans="1:4" x14ac:dyDescent="0.25">
      <c r="A4634" t="str">
        <f>T("   611420")</f>
        <v xml:space="preserve">   611420</v>
      </c>
      <c r="B4634" t="str">
        <f>T("   Vêtements spéciaux destinés à des fins professionnelles, sportives ou autres n.d.a., en bonneterie, de coton")</f>
        <v xml:space="preserve">   Vêtements spéciaux destinés à des fins professionnelles, sportives ou autres n.d.a., en bonneterie, de coton</v>
      </c>
      <c r="C4634">
        <v>13119</v>
      </c>
      <c r="D4634">
        <v>10</v>
      </c>
    </row>
    <row r="4635" spans="1:4" x14ac:dyDescent="0.25">
      <c r="A4635" t="str">
        <f>T("   611430")</f>
        <v xml:space="preserve">   611430</v>
      </c>
      <c r="B4635" t="str">
        <f>T("   Vêtements spéciaux destinés à des fins professionnelles, sportives ou autres n.d.a., en bonneterie, de fibres synthétiques ou artificielles")</f>
        <v xml:space="preserve">   Vêtements spéciaux destinés à des fins professionnelles, sportives ou autres n.d.a., en bonneterie, de fibres synthétiques ou artificielles</v>
      </c>
      <c r="C4635">
        <v>680591</v>
      </c>
      <c r="D4635">
        <v>30</v>
      </c>
    </row>
    <row r="4636" spans="1:4" x14ac:dyDescent="0.25">
      <c r="A4636" t="str">
        <f>T("   611490")</f>
        <v xml:space="preserve">   611490</v>
      </c>
      <c r="B4636" t="str">
        <f>T("   Vêtements spéciaux destinés à des fins professionnelles, sportives ou autres n.d.a., en bonneterie, de matières textiles (sauf de laine, poils fins, coton, fibres synthétiques ou artificielles)")</f>
        <v xml:space="preserve">   Vêtements spéciaux destinés à des fins professionnelles, sportives ou autres n.d.a., en bonneterie, de matières textiles (sauf de laine, poils fins, coton, fibres synthétiques ou artificielles)</v>
      </c>
      <c r="C4636">
        <v>17785951</v>
      </c>
      <c r="D4636">
        <v>3269</v>
      </c>
    </row>
    <row r="4637" spans="1:4" x14ac:dyDescent="0.25">
      <c r="A4637" t="str">
        <f>T("   611592")</f>
        <v xml:space="preserve">   611592</v>
      </c>
      <c r="B4637" t="str">
        <f>T("   BAS ET MI-BAS, CHAUSSETTES ET AUTRES ARTICLES CHAUSSANTS, Y.C. LES BAS À VARICES, EN BONNETERIE, DE COTON (SAUF COLLANTS 'BAS-CULOTTES' BAS ET MI-BAS DE FEMMES À TITRE EN FILS SIMPLES &lt; 67 DÉCITEX ET SAUF ARTICLES CHAUSSANTS POUR BÉBÉS)")</f>
        <v xml:space="preserve">   BAS ET MI-BAS, CHAUSSETTES ET AUTRES ARTICLES CHAUSSANTS, Y.C. LES BAS À VARICES, EN BONNETERIE, DE COTON (SAUF COLLANTS 'BAS-CULOTTES' BAS ET MI-BAS DE FEMMES À TITRE EN FILS SIMPLES &lt; 67 DÉCITEX ET SAUF ARTICLES CHAUSSANTS POUR BÉBÉS)</v>
      </c>
      <c r="C4637">
        <v>3421487</v>
      </c>
      <c r="D4637">
        <v>243</v>
      </c>
    </row>
    <row r="4638" spans="1:4" x14ac:dyDescent="0.25">
      <c r="A4638" t="str">
        <f>T("   611599")</f>
        <v xml:space="preserve">   611599</v>
      </c>
      <c r="B4638" t="s">
        <v>263</v>
      </c>
      <c r="C4638">
        <v>4343111</v>
      </c>
      <c r="D4638">
        <v>393</v>
      </c>
    </row>
    <row r="4639" spans="1:4" x14ac:dyDescent="0.25">
      <c r="A4639" t="str">
        <f>T("   611610")</f>
        <v xml:space="preserve">   611610</v>
      </c>
      <c r="B4639" t="str">
        <f>T("   Gants, mitaines et moufles, en bonneterie, imprégnés, enduits ou recouverts de matières plastiques ou de caoutchouc (sauf pour bébés)")</f>
        <v xml:space="preserve">   Gants, mitaines et moufles, en bonneterie, imprégnés, enduits ou recouverts de matières plastiques ou de caoutchouc (sauf pour bébés)</v>
      </c>
      <c r="C4639">
        <v>8958662</v>
      </c>
      <c r="D4639">
        <v>963</v>
      </c>
    </row>
    <row r="4640" spans="1:4" x14ac:dyDescent="0.25">
      <c r="A4640" t="str">
        <f>T("   611692")</f>
        <v xml:space="preserve">   611692</v>
      </c>
      <c r="B4640" t="str">
        <f>T("   Gants, mitaines et moufles, en bonneterie, de coton (sauf imprégnés, enduits ou recouverts de matière plastique ou de caoutchouc et sauf pour bébés)")</f>
        <v xml:space="preserve">   Gants, mitaines et moufles, en bonneterie, de coton (sauf imprégnés, enduits ou recouverts de matière plastique ou de caoutchouc et sauf pour bébés)</v>
      </c>
      <c r="C4640">
        <v>347003</v>
      </c>
      <c r="D4640">
        <v>500</v>
      </c>
    </row>
    <row r="4641" spans="1:4" x14ac:dyDescent="0.25">
      <c r="A4641" t="str">
        <f>T("   620192")</f>
        <v xml:space="preserve">   620192</v>
      </c>
      <c r="B4641" t="s">
        <v>264</v>
      </c>
      <c r="C4641">
        <v>149559</v>
      </c>
      <c r="D4641">
        <v>20</v>
      </c>
    </row>
    <row r="4642" spans="1:4" x14ac:dyDescent="0.25">
      <c r="A4642" t="str">
        <f>T("   620299")</f>
        <v xml:space="preserve">   620299</v>
      </c>
      <c r="B4642" t="s">
        <v>266</v>
      </c>
      <c r="C4642">
        <v>62972</v>
      </c>
      <c r="D4642">
        <v>16</v>
      </c>
    </row>
    <row r="4643" spans="1:4" x14ac:dyDescent="0.25">
      <c r="A4643" t="str">
        <f>T("   620311")</f>
        <v xml:space="preserve">   620311</v>
      </c>
      <c r="B4643" t="str">
        <f>T("   Costumes ou complets, de laine ou poils fins, pour hommes ou garçonnets (autres qu'en bonneterie et sauf survêtements de sport 'trainings', combinaisons et ensembles de ski, maillots, culottes et slips de bain)")</f>
        <v xml:space="preserve">   Costumes ou complets, de laine ou poils fins, pour hommes ou garçonnets (autres qu'en bonneterie et sauf survêtements de sport 'trainings', combinaisons et ensembles de ski, maillots, culottes et slips de bain)</v>
      </c>
      <c r="C4643">
        <v>879643</v>
      </c>
      <c r="D4643">
        <v>470</v>
      </c>
    </row>
    <row r="4644" spans="1:4" x14ac:dyDescent="0.25">
      <c r="A4644" t="str">
        <f>T("   620319")</f>
        <v xml:space="preserve">   620319</v>
      </c>
      <c r="B4644" t="s">
        <v>267</v>
      </c>
      <c r="C4644">
        <v>6440203</v>
      </c>
      <c r="D4644">
        <v>7144</v>
      </c>
    </row>
    <row r="4645" spans="1:4" x14ac:dyDescent="0.25">
      <c r="A4645" t="str">
        <f>T("   620321")</f>
        <v xml:space="preserve">   620321</v>
      </c>
      <c r="B4645" t="str">
        <f>T("   Ensembles de laine ou poils fins, pour hommes ou garçonnets (autres qu'en bonneterie et sauf ensembles de ski et maillots, culottes et slips de bain)")</f>
        <v xml:space="preserve">   Ensembles de laine ou poils fins, pour hommes ou garçonnets (autres qu'en bonneterie et sauf ensembles de ski et maillots, culottes et slips de bain)</v>
      </c>
      <c r="C4645">
        <v>959670</v>
      </c>
      <c r="D4645">
        <v>363</v>
      </c>
    </row>
    <row r="4646" spans="1:4" x14ac:dyDescent="0.25">
      <c r="A4646" t="str">
        <f>T("   620322")</f>
        <v xml:space="preserve">   620322</v>
      </c>
      <c r="B4646" t="str">
        <f>T("   Ensembles de coton, pour hommes ou garçonnets (autres qu'en bonneterie et sauf ensembles de ski et maillots, culottes et slips de bain)")</f>
        <v xml:space="preserve">   Ensembles de coton, pour hommes ou garçonnets (autres qu'en bonneterie et sauf ensembles de ski et maillots, culottes et slips de bain)</v>
      </c>
      <c r="C4646">
        <v>1142683</v>
      </c>
      <c r="D4646">
        <v>361</v>
      </c>
    </row>
    <row r="4647" spans="1:4" x14ac:dyDescent="0.25">
      <c r="A4647" t="str">
        <f>T("   620329")</f>
        <v xml:space="preserve">   620329</v>
      </c>
      <c r="B4647" t="str">
        <f>T("   ENSEMBLES DE MATIÈRES TEXTILES, POUR HOMMES OU GARÇONNETS (AUTRES QUE DE COTON OU FIBRES SYNTHÉTIQUES, AUTRES QU'EN BONNETERIE ET SAUF ENSEMBLES DE SKI ET MAILLOTS, CULOTTES ET SLIPS DE BAIN)")</f>
        <v xml:space="preserve">   ENSEMBLES DE MATIÈRES TEXTILES, POUR HOMMES OU GARÇONNETS (AUTRES QUE DE COTON OU FIBRES SYNTHÉTIQUES, AUTRES QU'EN BONNETERIE ET SAUF ENSEMBLES DE SKI ET MAILLOTS, CULOTTES ET SLIPS DE BAIN)</v>
      </c>
      <c r="C4647">
        <v>1218921</v>
      </c>
      <c r="D4647">
        <v>344</v>
      </c>
    </row>
    <row r="4648" spans="1:4" x14ac:dyDescent="0.25">
      <c r="A4648" t="str">
        <f>T("   620339")</f>
        <v xml:space="preserve">   620339</v>
      </c>
      <c r="B4648" t="str">
        <f>T("   Vestons de matières textiles, pour hommes ou garçonnets (autres que laine, poils fins, coton ou fibres synthétiques, autres qu'en bonneterie et sauf anoraks et articles simil.)")</f>
        <v xml:space="preserve">   Vestons de matières textiles, pour hommes ou garçonnets (autres que laine, poils fins, coton ou fibres synthétiques, autres qu'en bonneterie et sauf anoraks et articles simil.)</v>
      </c>
      <c r="C4648">
        <v>232945</v>
      </c>
      <c r="D4648">
        <v>20</v>
      </c>
    </row>
    <row r="4649" spans="1:4" x14ac:dyDescent="0.25">
      <c r="A4649" t="str">
        <f>T("   620341")</f>
        <v xml:space="preserve">   620341</v>
      </c>
      <c r="B4649" t="str">
        <f>T("   Pantalons, y.c. knickers et pantalons simil., salopettes à bretelles, culottes et shorts, de laine ou poils fins, pour hommes ou garçonnets (autres qu'en bonneterie et sauf slips et caleçons et maillots, culottes et slips de bain)")</f>
        <v xml:space="preserve">   Pantalons, y.c. knickers et pantalons simil., salopettes à bretelles, culottes et shorts, de laine ou poils fins, pour hommes ou garçonnets (autres qu'en bonneterie et sauf slips et caleçons et maillots, culottes et slips de bain)</v>
      </c>
      <c r="C4649">
        <v>461140</v>
      </c>
      <c r="D4649">
        <v>175</v>
      </c>
    </row>
    <row r="4650" spans="1:4" x14ac:dyDescent="0.25">
      <c r="A4650" t="str">
        <f>T("   620342")</f>
        <v xml:space="preserve">   620342</v>
      </c>
      <c r="B4650" t="str">
        <f>T("   Pantalons, y.c. knickers et pantalons simil., salopettes à bretelles, culottes et shorts, de coton, pour hommes ou garçonnets (autres qu'en bonneterie et sauf slips et caleçons ainsi que maillots, culottes et slips de bain)")</f>
        <v xml:space="preserve">   Pantalons, y.c. knickers et pantalons simil., salopettes à bretelles, culottes et shorts, de coton, pour hommes ou garçonnets (autres qu'en bonneterie et sauf slips et caleçons ainsi que maillots, culottes et slips de bain)</v>
      </c>
      <c r="C4650">
        <v>131848</v>
      </c>
      <c r="D4650">
        <v>448</v>
      </c>
    </row>
    <row r="4651" spans="1:4" x14ac:dyDescent="0.25">
      <c r="A4651" t="str">
        <f>T("   620349")</f>
        <v xml:space="preserve">   620349</v>
      </c>
      <c r="B4651" t="s">
        <v>268</v>
      </c>
      <c r="C4651">
        <v>8357580</v>
      </c>
      <c r="D4651">
        <v>6632</v>
      </c>
    </row>
    <row r="4652" spans="1:4" x14ac:dyDescent="0.25">
      <c r="A4652" t="str">
        <f>T("   620412")</f>
        <v xml:space="preserve">   620412</v>
      </c>
      <c r="B4652" t="str">
        <f>T("   Costumes tailleurs, de coton, pour femmes ou fillettes (autres qu'en bonneterie et sauf combinaisons de ski et vêtements de bain)")</f>
        <v xml:space="preserve">   Costumes tailleurs, de coton, pour femmes ou fillettes (autres qu'en bonneterie et sauf combinaisons de ski et vêtements de bain)</v>
      </c>
      <c r="C4652">
        <v>438000</v>
      </c>
      <c r="D4652">
        <v>325</v>
      </c>
    </row>
    <row r="4653" spans="1:4" x14ac:dyDescent="0.25">
      <c r="A4653" t="str">
        <f>T("   620431")</f>
        <v xml:space="preserve">   620431</v>
      </c>
      <c r="B4653" t="str">
        <f>T("   Vestes de laine ou poils fins, pour femmes ou fillettes (autres qu'en bonneterie et sauf anoraks et articles simil.)")</f>
        <v xml:space="preserve">   Vestes de laine ou poils fins, pour femmes ou fillettes (autres qu'en bonneterie et sauf anoraks et articles simil.)</v>
      </c>
      <c r="C4653">
        <v>324700</v>
      </c>
      <c r="D4653">
        <v>175</v>
      </c>
    </row>
    <row r="4654" spans="1:4" x14ac:dyDescent="0.25">
      <c r="A4654" t="str">
        <f>T("   620449")</f>
        <v xml:space="preserve">   620449</v>
      </c>
      <c r="B4654" t="str">
        <f>T("   Robes de matières textiles, pour femmes ou fillettes (autres que laine, poils fins, coton, fibres synthétiques ou artificielles, autres qu'en bonneterie et sauf combinaisons et fonds de robes)")</f>
        <v xml:space="preserve">   Robes de matières textiles, pour femmes ou fillettes (autres que laine, poils fins, coton, fibres synthétiques ou artificielles, autres qu'en bonneterie et sauf combinaisons et fonds de robes)</v>
      </c>
      <c r="C4654">
        <v>2262406</v>
      </c>
      <c r="D4654">
        <v>745</v>
      </c>
    </row>
    <row r="4655" spans="1:4" x14ac:dyDescent="0.25">
      <c r="A4655" t="str">
        <f>T("   620462")</f>
        <v xml:space="preserve">   620462</v>
      </c>
      <c r="B4655" t="str">
        <f>T("   Pantalons, y.c. knickers et pantalons simil., salopettes à bretelles, culottes et shorts, de coton, pour femmes ou fillettes (autres qu'en bonneterie et sauf slips et maillots, culottes et slips de bain)")</f>
        <v xml:space="preserve">   Pantalons, y.c. knickers et pantalons simil., salopettes à bretelles, culottes et shorts, de coton, pour femmes ou fillettes (autres qu'en bonneterie et sauf slips et maillots, culottes et slips de bain)</v>
      </c>
      <c r="C4655">
        <v>1262067</v>
      </c>
      <c r="D4655">
        <v>58</v>
      </c>
    </row>
    <row r="4656" spans="1:4" x14ac:dyDescent="0.25">
      <c r="A4656" t="str">
        <f>T("   620469")</f>
        <v xml:space="preserve">   620469</v>
      </c>
      <c r="B4656" t="s">
        <v>269</v>
      </c>
      <c r="C4656">
        <v>5429646</v>
      </c>
      <c r="D4656">
        <v>1109</v>
      </c>
    </row>
    <row r="4657" spans="1:4" x14ac:dyDescent="0.25">
      <c r="A4657" t="str">
        <f>T("   620520")</f>
        <v xml:space="preserve">   620520</v>
      </c>
      <c r="B4657" t="str">
        <f>T("   Chemises et chemisettes, de coton, pour hommes ou garçonnets (autres qu'en bonneterie et sauf chemises de nuit et gilets de corps)")</f>
        <v xml:space="preserve">   Chemises et chemisettes, de coton, pour hommes ou garçonnets (autres qu'en bonneterie et sauf chemises de nuit et gilets de corps)</v>
      </c>
      <c r="C4657">
        <v>2581150</v>
      </c>
      <c r="D4657">
        <v>1978</v>
      </c>
    </row>
    <row r="4658" spans="1:4" x14ac:dyDescent="0.25">
      <c r="A4658" t="str">
        <f>T("   620590")</f>
        <v xml:space="preserve">   620590</v>
      </c>
      <c r="B4658"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4658">
        <v>37128962</v>
      </c>
      <c r="D4658">
        <v>49877.5</v>
      </c>
    </row>
    <row r="4659" spans="1:4" x14ac:dyDescent="0.25">
      <c r="A4659" t="str">
        <f>T("   620690")</f>
        <v xml:space="preserve">   620690</v>
      </c>
      <c r="B4659" t="s">
        <v>270</v>
      </c>
      <c r="C4659">
        <v>2119407</v>
      </c>
      <c r="D4659">
        <v>3302</v>
      </c>
    </row>
    <row r="4660" spans="1:4" x14ac:dyDescent="0.25">
      <c r="A4660" t="str">
        <f>T("   620711")</f>
        <v xml:space="preserve">   620711</v>
      </c>
      <c r="B4660" t="str">
        <f>T("   SLIPS ET CALETHONS, DE COTON, POUR HOMMES OU GARÇONNETS (AUTRES QU'EN BONNETERIE)")</f>
        <v xml:space="preserve">   SLIPS ET CALETHONS, DE COTON, POUR HOMMES OU GARÇONNETS (AUTRES QU'EN BONNETERIE)</v>
      </c>
      <c r="C4660">
        <v>4795723</v>
      </c>
      <c r="D4660">
        <v>838</v>
      </c>
    </row>
    <row r="4661" spans="1:4" x14ac:dyDescent="0.25">
      <c r="A4661" t="str">
        <f>T("   620719")</f>
        <v xml:space="preserve">   620719</v>
      </c>
      <c r="B4661" t="str">
        <f>T("   SLIPS ET CALETHONS, DE MATIÈRES TEXTILES, POUR HOMMES OU GARÇONNETS (AUTRES QUE DE COTON ET AUTRES QU'EN BONNETERIE)")</f>
        <v xml:space="preserve">   SLIPS ET CALETHONS, DE MATIÈRES TEXTILES, POUR HOMMES OU GARÇONNETS (AUTRES QUE DE COTON ET AUTRES QU'EN BONNETERIE)</v>
      </c>
      <c r="C4661">
        <v>5058108</v>
      </c>
      <c r="D4661">
        <v>359</v>
      </c>
    </row>
    <row r="4662" spans="1:4" x14ac:dyDescent="0.25">
      <c r="A4662" t="str">
        <f>T("   620729")</f>
        <v xml:space="preserve">   620729</v>
      </c>
      <c r="B4662" t="str">
        <f>T("   CHEMISES DE NUIT ET PYJAMAS, DE MATIÈRES TEXTILES, POUR HOMMES OU GARÇONNETS (AUTRES QUE DE COTON, FIBRES SYNTHÉTIQUES OU ARTIFICIELLES, AUTRES QU'EN BONNETERIE ET SAUF GILETS DE CORPS ET SLIPS ET CALETHONS)")</f>
        <v xml:space="preserve">   CHEMISES DE NUIT ET PYJAMAS, DE MATIÈRES TEXTILES, POUR HOMMES OU GARÇONNETS (AUTRES QUE DE COTON, FIBRES SYNTHÉTIQUES OU ARTIFICIELLES, AUTRES QU'EN BONNETERIE ET SAUF GILETS DE CORPS ET SLIPS ET CALETHONS)</v>
      </c>
      <c r="C4662">
        <v>26239</v>
      </c>
      <c r="D4662">
        <v>33</v>
      </c>
    </row>
    <row r="4663" spans="1:4" x14ac:dyDescent="0.25">
      <c r="A4663" t="str">
        <f>T("   620811")</f>
        <v xml:space="preserve">   620811</v>
      </c>
      <c r="B4663" t="str">
        <f>T("   Combinaisons ou fonds de robes et jupons, de fibres synthétiques ou artificielles, pour femmes ou fillettes (autres qu'en bonneterie et sauf gilets de corps et articles simil.)")</f>
        <v xml:space="preserve">   Combinaisons ou fonds de robes et jupons, de fibres synthétiques ou artificielles, pour femmes ou fillettes (autres qu'en bonneterie et sauf gilets de corps et articles simil.)</v>
      </c>
      <c r="C4663">
        <v>1550033</v>
      </c>
      <c r="D4663">
        <v>400</v>
      </c>
    </row>
    <row r="4664" spans="1:4" x14ac:dyDescent="0.25">
      <c r="A4664" t="str">
        <f>T("   620822")</f>
        <v xml:space="preserve">   620822</v>
      </c>
      <c r="B4664" t="str">
        <f>T("   Chemises de nuit et pyjamas, de fibres synthétiques ou artificielles, pour femmes ou fillettes (autres qu'en bonneterie et sauf gilets de corps, chemises de jour et déshabillés)")</f>
        <v xml:space="preserve">   Chemises de nuit et pyjamas, de fibres synthétiques ou artificielles, pour femmes ou fillettes (autres qu'en bonneterie et sauf gilets de corps, chemises de jour et déshabillés)</v>
      </c>
      <c r="C4664">
        <v>465731</v>
      </c>
      <c r="D4664">
        <v>90</v>
      </c>
    </row>
    <row r="4665" spans="1:4" x14ac:dyDescent="0.25">
      <c r="A4665" t="str">
        <f>T("   620899")</f>
        <v xml:space="preserve">   620899</v>
      </c>
      <c r="B4665" t="s">
        <v>271</v>
      </c>
      <c r="C4665">
        <v>3947567</v>
      </c>
      <c r="D4665">
        <v>10000</v>
      </c>
    </row>
    <row r="4666" spans="1:4" x14ac:dyDescent="0.25">
      <c r="A4666" t="str">
        <f>T("   620990")</f>
        <v xml:space="preserve">   620990</v>
      </c>
      <c r="B4666" t="str">
        <f>T("   VÊTEMENTS ET ACCESSOIRES DU VÊTEMENT, DE MATIÈRES TEXTILES, POUR BÉBÉS (AUTRES QUE DE COTON, FIBRES SYNTHÉTIQUES, AUTRES QU'EN BONNETERIE ET SAUF BONNETS)")</f>
        <v xml:space="preserve">   VÊTEMENTS ET ACCESSOIRES DU VÊTEMENT, DE MATIÈRES TEXTILES, POUR BÉBÉS (AUTRES QUE DE COTON, FIBRES SYNTHÉTIQUES, AUTRES QU'EN BONNETERIE ET SAUF BONNETS)</v>
      </c>
      <c r="C4666">
        <v>200000</v>
      </c>
      <c r="D4666">
        <v>220</v>
      </c>
    </row>
    <row r="4667" spans="1:4" x14ac:dyDescent="0.25">
      <c r="A4667" t="str">
        <f>T("   621010")</f>
        <v xml:space="preserve">   621010</v>
      </c>
      <c r="B4667" t="str">
        <f>T("   Vêtements en feutres ou non-tissés, même imprégnés, enduits, recouverts ou stratifiés (sauf vêtements pour bébés et sauf accessoires du vêtement)")</f>
        <v xml:space="preserve">   Vêtements en feutres ou non-tissés, même imprégnés, enduits, recouverts ou stratifiés (sauf vêtements pour bébés et sauf accessoires du vêtement)</v>
      </c>
      <c r="C4667">
        <v>9155890</v>
      </c>
      <c r="D4667">
        <v>319</v>
      </c>
    </row>
    <row r="4668" spans="1:4" x14ac:dyDescent="0.25">
      <c r="A4668" t="str">
        <f>T("   621020")</f>
        <v xml:space="preserve">   621020</v>
      </c>
      <c r="B4668" t="str">
        <f>T("   Vêtements des types du n° 6201.11 à 6201.19 [manteaux, cabans, capes et articles simil.], caoutchoutés ou imprégnés, enduits ou recouverts de matière plastique ou d'autres substances")</f>
        <v xml:space="preserve">   Vêtements des types du n° 6201.11 à 6201.19 [manteaux, cabans, capes et articles simil.], caoutchoutés ou imprégnés, enduits ou recouverts de matière plastique ou d'autres substances</v>
      </c>
      <c r="C4668">
        <v>1973617</v>
      </c>
      <c r="D4668">
        <v>633</v>
      </c>
    </row>
    <row r="4669" spans="1:4" x14ac:dyDescent="0.25">
      <c r="A4669" t="str">
        <f>T("   621030")</f>
        <v xml:space="preserve">   621030</v>
      </c>
      <c r="B4669" t="str">
        <f>T("   Vêtements des types du n° 6202.11 à 6202.19 [manteaux, cabans, capes et articles simil.], caoutchoutés ou imprégnés, enduits ou recouverts de matière plastique ou d'autres substances")</f>
        <v xml:space="preserve">   Vêtements des types du n° 6202.11 à 6202.19 [manteaux, cabans, capes et articles simil.], caoutchoutés ou imprégnés, enduits ou recouverts de matière plastique ou d'autres substances</v>
      </c>
      <c r="C4669">
        <v>4106112</v>
      </c>
      <c r="D4669">
        <v>110</v>
      </c>
    </row>
    <row r="4670" spans="1:4" x14ac:dyDescent="0.25">
      <c r="A4670" t="str">
        <f>T("   621040")</f>
        <v xml:space="preserve">   621040</v>
      </c>
      <c r="B4670" t="s">
        <v>272</v>
      </c>
      <c r="C4670">
        <v>19185835</v>
      </c>
      <c r="D4670">
        <v>18634.8</v>
      </c>
    </row>
    <row r="4671" spans="1:4" x14ac:dyDescent="0.25">
      <c r="A4671" t="str">
        <f>T("   621050")</f>
        <v xml:space="preserve">   621050</v>
      </c>
      <c r="B4671" t="s">
        <v>273</v>
      </c>
      <c r="C4671">
        <v>13667808</v>
      </c>
      <c r="D4671">
        <v>6080</v>
      </c>
    </row>
    <row r="4672" spans="1:4" x14ac:dyDescent="0.25">
      <c r="A4672" t="str">
        <f>T("   621112")</f>
        <v xml:space="preserve">   621112</v>
      </c>
      <c r="B4672" t="str">
        <f>T("   Maillots, culottes et slips de bain, pour femmes ou fillettes (autres qu'en bonneterie)")</f>
        <v xml:space="preserve">   Maillots, culottes et slips de bain, pour femmes ou fillettes (autres qu'en bonneterie)</v>
      </c>
      <c r="C4672">
        <v>14032952</v>
      </c>
      <c r="D4672">
        <v>2396</v>
      </c>
    </row>
    <row r="4673" spans="1:4" x14ac:dyDescent="0.25">
      <c r="A4673" t="str">
        <f>T("   621133")</f>
        <v xml:space="preserve">   621133</v>
      </c>
      <c r="B4673" t="str">
        <f>T("   Survêtements de sport 'trainings' et autres vêtements n.d.a., de fibres synthétiques ou artificielles, pour hommes ou garçonnets (autres qu'en bonneterie)")</f>
        <v xml:space="preserve">   Survêtements de sport 'trainings' et autres vêtements n.d.a., de fibres synthétiques ou artificielles, pour hommes ou garçonnets (autres qu'en bonneterie)</v>
      </c>
      <c r="C4673">
        <v>4021317</v>
      </c>
      <c r="D4673">
        <v>413</v>
      </c>
    </row>
    <row r="4674" spans="1:4" x14ac:dyDescent="0.25">
      <c r="A4674" t="str">
        <f>T("   621139")</f>
        <v xml:space="preserve">   621139</v>
      </c>
      <c r="B4674" t="str">
        <f>T("   Survêtements de sport 'trainings' et autres vêtements n.d.a., de matières textiles, pour hommes ou garçonnets (autres que de laine, poils fins, coton, fibres synthétiques ou artificielles, autres qu'en bonneterie)")</f>
        <v xml:space="preserve">   Survêtements de sport 'trainings' et autres vêtements n.d.a., de matières textiles, pour hommes ou garçonnets (autres que de laine, poils fins, coton, fibres synthétiques ou artificielles, autres qu'en bonneterie)</v>
      </c>
      <c r="C4674">
        <v>369305</v>
      </c>
      <c r="D4674">
        <v>2500</v>
      </c>
    </row>
    <row r="4675" spans="1:4" x14ac:dyDescent="0.25">
      <c r="A4675" t="str">
        <f>T("   621142")</f>
        <v xml:space="preserve">   621142</v>
      </c>
      <c r="B4675" t="str">
        <f>T("   Survêtements de sport 'trainings' et autres vêtements n.d.a., de coton, pour femmes ou fillettes (autres qu'en bonneterie)")</f>
        <v xml:space="preserve">   Survêtements de sport 'trainings' et autres vêtements n.d.a., de coton, pour femmes ou fillettes (autres qu'en bonneterie)</v>
      </c>
      <c r="C4675">
        <v>11808243</v>
      </c>
      <c r="D4675">
        <v>2761</v>
      </c>
    </row>
    <row r="4676" spans="1:4" x14ac:dyDescent="0.25">
      <c r="A4676" t="str">
        <f>T("   621490")</f>
        <v xml:space="preserve">   621490</v>
      </c>
      <c r="B4676" t="str">
        <f>T("   Châles, écharpes, foulards, cache-nez, cache-col, mantilles, voiles et voilettes et articles simil., de matières textiles (autres que de laine, poils fins, fibres synthétiques ou artificielles, soie et déchets de soie et autres qu'en bonneterie)")</f>
        <v xml:space="preserve">   Châles, écharpes, foulards, cache-nez, cache-col, mantilles, voiles et voilettes et articles simil., de matières textiles (autres que de laine, poils fins, fibres synthétiques ou artificielles, soie et déchets de soie et autres qu'en bonneterie)</v>
      </c>
      <c r="C4676">
        <v>1234488</v>
      </c>
      <c r="D4676">
        <v>1621</v>
      </c>
    </row>
    <row r="4677" spans="1:4" x14ac:dyDescent="0.25">
      <c r="A4677" t="str">
        <f>T("   621510")</f>
        <v xml:space="preserve">   621510</v>
      </c>
      <c r="B4677" t="str">
        <f>T("   Cravates, noeuds papillons et foulards cravates, de soie ou de déchets de soie (autres qu'en bonneterie)")</f>
        <v xml:space="preserve">   Cravates, noeuds papillons et foulards cravates, de soie ou de déchets de soie (autres qu'en bonneterie)</v>
      </c>
      <c r="C4677">
        <v>392920</v>
      </c>
      <c r="D4677">
        <v>125</v>
      </c>
    </row>
    <row r="4678" spans="1:4" x14ac:dyDescent="0.25">
      <c r="A4678" t="str">
        <f>T("   621590")</f>
        <v xml:space="preserve">   621590</v>
      </c>
      <c r="B4678" t="str">
        <f>T("   Cravates, noeuds papillons et foulards cravates, de matières textiles (autres que fibres synthétiques ou artificielles, soie et déchets de soie et autres qu'en bonneterie)")</f>
        <v xml:space="preserve">   Cravates, noeuds papillons et foulards cravates, de matières textiles (autres que fibres synthétiques ou artificielles, soie et déchets de soie et autres qu'en bonneterie)</v>
      </c>
      <c r="C4678">
        <v>270000</v>
      </c>
      <c r="D4678">
        <v>110</v>
      </c>
    </row>
    <row r="4679" spans="1:4" x14ac:dyDescent="0.25">
      <c r="A4679" t="str">
        <f>T("   621600")</f>
        <v xml:space="preserve">   621600</v>
      </c>
      <c r="B4679" t="str">
        <f>T("   Gants, mitaines et moufles, en tous types de matières textiles (autres qu'en bonneterie et sauf gants pour bébés)")</f>
        <v xml:space="preserve">   Gants, mitaines et moufles, en tous types de matières textiles (autres qu'en bonneterie et sauf gants pour bébés)</v>
      </c>
      <c r="C4679">
        <v>3270000</v>
      </c>
      <c r="D4679">
        <v>5588</v>
      </c>
    </row>
    <row r="4680" spans="1:4" x14ac:dyDescent="0.25">
      <c r="A4680" t="str">
        <f>T("   630190")</f>
        <v xml:space="preserve">   630190</v>
      </c>
      <c r="B4680" t="s">
        <v>275</v>
      </c>
      <c r="C4680">
        <v>1423912</v>
      </c>
      <c r="D4680">
        <v>1113</v>
      </c>
    </row>
    <row r="4681" spans="1:4" x14ac:dyDescent="0.25">
      <c r="A4681" t="str">
        <f>T("   630221")</f>
        <v xml:space="preserve">   630221</v>
      </c>
      <c r="B4681" t="str">
        <f>T("   Linge de lit de coton, imprimé (autre qu'en bonneterie)")</f>
        <v xml:space="preserve">   Linge de lit de coton, imprimé (autre qu'en bonneterie)</v>
      </c>
      <c r="C4681">
        <v>4976113</v>
      </c>
      <c r="D4681">
        <v>1226</v>
      </c>
    </row>
    <row r="4682" spans="1:4" x14ac:dyDescent="0.25">
      <c r="A4682" t="str">
        <f>T("   630229")</f>
        <v xml:space="preserve">   630229</v>
      </c>
      <c r="B4682" t="str">
        <f>T("   Linge de lit, de matières textiles, imprimé (autre que de coton, fibres synthétiques ou artificielles, autres qu'en bonneterie)")</f>
        <v xml:space="preserve">   Linge de lit, de matières textiles, imprimé (autre que de coton, fibres synthétiques ou artificielles, autres qu'en bonneterie)</v>
      </c>
      <c r="C4682">
        <v>6553040</v>
      </c>
      <c r="D4682">
        <v>1517</v>
      </c>
    </row>
    <row r="4683" spans="1:4" x14ac:dyDescent="0.25">
      <c r="A4683" t="str">
        <f>T("   630231")</f>
        <v xml:space="preserve">   630231</v>
      </c>
      <c r="B4683" t="str">
        <f>T("   Linge de lit de coton (autre qu'imprimé, autre qu'en bonneterie)")</f>
        <v xml:space="preserve">   Linge de lit de coton (autre qu'imprimé, autre qu'en bonneterie)</v>
      </c>
      <c r="C4683">
        <v>4292917</v>
      </c>
      <c r="D4683">
        <v>659</v>
      </c>
    </row>
    <row r="4684" spans="1:4" x14ac:dyDescent="0.25">
      <c r="A4684" t="str">
        <f>T("   630239")</f>
        <v xml:space="preserve">   630239</v>
      </c>
      <c r="B4684" t="str">
        <f>T("   Linge de lit de matières textiles (autres que de coton, fibres synthétiques ou artificielles, autre qu'imprimé, autre qu'en bonneterie)")</f>
        <v xml:space="preserve">   Linge de lit de matières textiles (autres que de coton, fibres synthétiques ou artificielles, autre qu'imprimé, autre qu'en bonneterie)</v>
      </c>
      <c r="C4684">
        <v>1383388</v>
      </c>
      <c r="D4684">
        <v>518</v>
      </c>
    </row>
    <row r="4685" spans="1:4" x14ac:dyDescent="0.25">
      <c r="A4685" t="str">
        <f>T("   630252")</f>
        <v xml:space="preserve">   630252</v>
      </c>
      <c r="B4685" t="str">
        <f>T("   Linge de table de lin (autre qu'en bonneterie)")</f>
        <v xml:space="preserve">   Linge de table de lin (autre qu'en bonneterie)</v>
      </c>
      <c r="C4685">
        <v>139720</v>
      </c>
      <c r="D4685">
        <v>45</v>
      </c>
    </row>
    <row r="4686" spans="1:4" x14ac:dyDescent="0.25">
      <c r="A4686" t="str">
        <f>T("   630259")</f>
        <v xml:space="preserve">   630259</v>
      </c>
      <c r="B4686" t="str">
        <f>T("   LINGE DE TABLE DE MATIÈRES TEXTILES (AUTRE QUE DE COTON, FIBRES SYNTHÉTIQUES OU ARTIFICIELLES, AUTRE QU'EN BONNETERIE)")</f>
        <v xml:space="preserve">   LINGE DE TABLE DE MATIÈRES TEXTILES (AUTRE QUE DE COTON, FIBRES SYNTHÉTIQUES OU ARTIFICIELLES, AUTRE QU'EN BONNETERIE)</v>
      </c>
      <c r="C4686">
        <v>402025</v>
      </c>
      <c r="D4686">
        <v>240</v>
      </c>
    </row>
    <row r="4687" spans="1:4" x14ac:dyDescent="0.25">
      <c r="A4687" t="str">
        <f>T("   630260")</f>
        <v xml:space="preserve">   630260</v>
      </c>
      <c r="B4687" t="str">
        <f>T("   Linge de toilette ou de cuisine, bouclé du genre éponge, de coton (sauf serpillières, chiffons à parquet, lavettes et chamoisettes)")</f>
        <v xml:space="preserve">   Linge de toilette ou de cuisine, bouclé du genre éponge, de coton (sauf serpillières, chiffons à parquet, lavettes et chamoisettes)</v>
      </c>
      <c r="C4687">
        <v>8683486</v>
      </c>
      <c r="D4687">
        <v>2037</v>
      </c>
    </row>
    <row r="4688" spans="1:4" x14ac:dyDescent="0.25">
      <c r="A4688" t="str">
        <f>T("   630291")</f>
        <v xml:space="preserve">   630291</v>
      </c>
      <c r="B4688" t="str">
        <f>T("   Linge de toilette ou de cuisine en coton (autre que bouclé du genre éponge et sauf serpillières, chiffons à parquet, lavettes et chamoisettes)")</f>
        <v xml:space="preserve">   Linge de toilette ou de cuisine en coton (autre que bouclé du genre éponge et sauf serpillières, chiffons à parquet, lavettes et chamoisettes)</v>
      </c>
      <c r="C4688">
        <v>3878692</v>
      </c>
      <c r="D4688">
        <v>1259</v>
      </c>
    </row>
    <row r="4689" spans="1:4" x14ac:dyDescent="0.25">
      <c r="A4689" t="str">
        <f>T("   630299")</f>
        <v xml:space="preserve">   630299</v>
      </c>
      <c r="B4689" t="str">
        <f>T("   LINGE DE TOILETTE OU DE CUISINE, DE MATIÈRES TEXTILES (AUTRE QUE DE COTON, FIBRES SYNTHÉTIQUES OU ARTIFICIELLES ET SAUF SERPILLIÈRES, CHIFFONS À PARQUET, LAVETTES ET CHAMOISETTES)")</f>
        <v xml:space="preserve">   LINGE DE TOILETTE OU DE CUISINE, DE MATIÈRES TEXTILES (AUTRE QUE DE COTON, FIBRES SYNTHÉTIQUES OU ARTIFICIELLES ET SAUF SERPILLIÈRES, CHIFFONS À PARQUET, LAVETTES ET CHAMOISETTES)</v>
      </c>
      <c r="C4689">
        <v>9785685</v>
      </c>
      <c r="D4689">
        <v>9177</v>
      </c>
    </row>
    <row r="4690" spans="1:4" x14ac:dyDescent="0.25">
      <c r="A4690" t="str">
        <f>T("   630319")</f>
        <v xml:space="preserve">   630319</v>
      </c>
      <c r="B4690" t="str">
        <f>T("   Vitrages, rideaux et stores d'intérieur ainsi que cantonnières et tours de lit, en bonneterie (autres que de coton et fibres synthétiques et autres que stores d'extérieur)")</f>
        <v xml:space="preserve">   Vitrages, rideaux et stores d'intérieur ainsi que cantonnières et tours de lit, en bonneterie (autres que de coton et fibres synthétiques et autres que stores d'extérieur)</v>
      </c>
      <c r="C4690">
        <v>539901</v>
      </c>
      <c r="D4690">
        <v>250</v>
      </c>
    </row>
    <row r="4691" spans="1:4" x14ac:dyDescent="0.25">
      <c r="A4691" t="str">
        <f>T("   630399")</f>
        <v xml:space="preserve">   630399</v>
      </c>
      <c r="B4691" t="str">
        <f>T("   Vitrages, rideaux et stores d'intérieur ainsi que cantonnières et tours de lit, de matières textiles (autres que de coton et fibres synthétiques, autres qu'en bonneterie et autres que stores d'extérieur)")</f>
        <v xml:space="preserve">   Vitrages, rideaux et stores d'intérieur ainsi que cantonnières et tours de lit, de matières textiles (autres que de coton et fibres synthétiques, autres qu'en bonneterie et autres que stores d'extérieur)</v>
      </c>
      <c r="C4691">
        <v>46609240</v>
      </c>
      <c r="D4691">
        <v>7156</v>
      </c>
    </row>
    <row r="4692" spans="1:4" x14ac:dyDescent="0.25">
      <c r="A4692" t="str">
        <f>T("   630419")</f>
        <v xml:space="preserve">   630419</v>
      </c>
      <c r="B4692" t="str">
        <f>T("   Couvre-lits en tous types de matières textiles (autres qu'en bonneterie et sauf linge de lit, couvre-pieds et édredons)")</f>
        <v xml:space="preserve">   Couvre-lits en tous types de matières textiles (autres qu'en bonneterie et sauf linge de lit, couvre-pieds et édredons)</v>
      </c>
      <c r="C4692">
        <v>2072506</v>
      </c>
      <c r="D4692">
        <v>34</v>
      </c>
    </row>
    <row r="4693" spans="1:4" x14ac:dyDescent="0.25">
      <c r="A4693" t="str">
        <f>T("   630491")</f>
        <v xml:space="preserve">   630491</v>
      </c>
      <c r="B4693" t="s">
        <v>276</v>
      </c>
      <c r="C4693">
        <v>66462</v>
      </c>
      <c r="D4693">
        <v>40</v>
      </c>
    </row>
    <row r="4694" spans="1:4" x14ac:dyDescent="0.25">
      <c r="A4694" t="str">
        <f>T("   630510")</f>
        <v xml:space="preserve">   630510</v>
      </c>
      <c r="B4694" t="str">
        <f>T("   Sacs et sachets d'emballage de jute ou d'autres fibres textiles libériennes du n° 5303")</f>
        <v xml:space="preserve">   Sacs et sachets d'emballage de jute ou d'autres fibres textiles libériennes du n° 5303</v>
      </c>
      <c r="C4694">
        <v>63003646</v>
      </c>
      <c r="D4694">
        <v>28014</v>
      </c>
    </row>
    <row r="4695" spans="1:4" x14ac:dyDescent="0.25">
      <c r="A4695" t="str">
        <f>T("   630520")</f>
        <v xml:space="preserve">   630520</v>
      </c>
      <c r="B4695" t="str">
        <f>T("   SACS ET SACHETS D'EMBALLAGE DE COTON")</f>
        <v xml:space="preserve">   SACS ET SACHETS D'EMBALLAGE DE COTON</v>
      </c>
      <c r="C4695">
        <v>30174</v>
      </c>
      <c r="D4695">
        <v>60</v>
      </c>
    </row>
    <row r="4696" spans="1:4" x14ac:dyDescent="0.25">
      <c r="A4696" t="str">
        <f>T("   630533")</f>
        <v xml:space="preserve">   630533</v>
      </c>
      <c r="B4696" t="str">
        <f>T("   Sacs et sachets d'emballage obtenus à partir de lames ou formes simil., de polyéthylène ou polypropylène (à l'excl. des contenants souples pour matières en vrac)")</f>
        <v xml:space="preserve">   Sacs et sachets d'emballage obtenus à partir de lames ou formes simil., de polyéthylène ou polypropylène (à l'excl. des contenants souples pour matières en vrac)</v>
      </c>
      <c r="C4696">
        <v>178332</v>
      </c>
      <c r="D4696">
        <v>1205</v>
      </c>
    </row>
    <row r="4697" spans="1:4" x14ac:dyDescent="0.25">
      <c r="A4697" t="str">
        <f>T("   630539")</f>
        <v xml:space="preserve">   630539</v>
      </c>
      <c r="B4697" t="str">
        <f>T("   Sacs et sachets d'emballage de matières synthétiques ou artificielles (autres qu'en lames ou formes simil. de polyéthylène ou de polypropylène ainsi que contenants souples pour matières en vrac)")</f>
        <v xml:space="preserve">   Sacs et sachets d'emballage de matières synthétiques ou artificielles (autres qu'en lames ou formes simil. de polyéthylène ou de polypropylène ainsi que contenants souples pour matières en vrac)</v>
      </c>
      <c r="C4697">
        <v>1325072</v>
      </c>
      <c r="D4697">
        <v>371</v>
      </c>
    </row>
    <row r="4698" spans="1:4" x14ac:dyDescent="0.25">
      <c r="A4698" t="str">
        <f>T("   630590")</f>
        <v xml:space="preserve">   630590</v>
      </c>
      <c r="B4698" t="str">
        <f>T("   Sacs et sachets d'emballage de matières textiles (autres qu'en matières textiles synthétiques ou artificielles, coton, jute ou autres fibres textiles libérienne du n° 5303)")</f>
        <v xml:space="preserve">   Sacs et sachets d'emballage de matières textiles (autres qu'en matières textiles synthétiques ou artificielles, coton, jute ou autres fibres textiles libérienne du n° 5303)</v>
      </c>
      <c r="C4698">
        <v>105465</v>
      </c>
      <c r="D4698">
        <v>427</v>
      </c>
    </row>
    <row r="4699" spans="1:4" x14ac:dyDescent="0.25">
      <c r="A4699" t="str">
        <f>T("   630612")</f>
        <v xml:space="preserve">   630612</v>
      </c>
      <c r="B4699" t="str">
        <f>T("   Bâches et stores d'extérieur de fibres synthétiques (sauf auvents plats en tissus légers, confectionnés selon le type de bâche)")</f>
        <v xml:space="preserve">   Bâches et stores d'extérieur de fibres synthétiques (sauf auvents plats en tissus légers, confectionnés selon le type de bâche)</v>
      </c>
      <c r="C4699">
        <v>286529</v>
      </c>
      <c r="D4699">
        <v>644</v>
      </c>
    </row>
    <row r="4700" spans="1:4" x14ac:dyDescent="0.25">
      <c r="A4700" t="str">
        <f>T("   630619")</f>
        <v xml:space="preserve">   630619</v>
      </c>
      <c r="B4700" t="str">
        <f>T("   Bâches et stores d'extérieur de matières textiles (autres que de coton ou fibres synthétiques et sauf auvents plats en tissus légers, confectionnés selon le type de bâche)")</f>
        <v xml:space="preserve">   Bâches et stores d'extérieur de matières textiles (autres que de coton ou fibres synthétiques et sauf auvents plats en tissus légers, confectionnés selon le type de bâche)</v>
      </c>
      <c r="C4700">
        <v>1764086</v>
      </c>
      <c r="D4700">
        <v>1100</v>
      </c>
    </row>
    <row r="4701" spans="1:4" x14ac:dyDescent="0.25">
      <c r="A4701" t="str">
        <f>T("   630629")</f>
        <v xml:space="preserve">   630629</v>
      </c>
      <c r="B4701" t="str">
        <f>T("   Tentes de matières textiles (autres que de coton ou fibres synthétiques et sauf paravents)")</f>
        <v xml:space="preserve">   Tentes de matières textiles (autres que de coton ou fibres synthétiques et sauf paravents)</v>
      </c>
      <c r="C4701">
        <v>3420011</v>
      </c>
      <c r="D4701">
        <v>6000</v>
      </c>
    </row>
    <row r="4702" spans="1:4" x14ac:dyDescent="0.25">
      <c r="A4702" t="str">
        <f>T("   630639")</f>
        <v xml:space="preserve">   630639</v>
      </c>
      <c r="B4702" t="str">
        <f>T("   Voiles pour bateaux, planches à voiles et chars à voiles, de matières textiles (autres que de fibres synthétiques)")</f>
        <v xml:space="preserve">   Voiles pour bateaux, planches à voiles et chars à voiles, de matières textiles (autres que de fibres synthétiques)</v>
      </c>
      <c r="C4702">
        <v>276647</v>
      </c>
      <c r="D4702">
        <v>10</v>
      </c>
    </row>
    <row r="4703" spans="1:4" x14ac:dyDescent="0.25">
      <c r="A4703" t="str">
        <f>T("   630649")</f>
        <v xml:space="preserve">   630649</v>
      </c>
      <c r="B4703" t="str">
        <f>T("   Matelas pneumatiques de matières textiles (autres que de coton)")</f>
        <v xml:space="preserve">   Matelas pneumatiques de matières textiles (autres que de coton)</v>
      </c>
      <c r="C4703">
        <v>15087</v>
      </c>
      <c r="D4703">
        <v>20</v>
      </c>
    </row>
    <row r="4704" spans="1:4" x14ac:dyDescent="0.25">
      <c r="A4704" t="str">
        <f>T("   630699")</f>
        <v xml:space="preserve">   630699</v>
      </c>
      <c r="B4704" t="str">
        <f>T("   Articles de camping, de matières textiles (autres que de coton et sauf tentes et matelas pneumatiques, stores d'extérieur, voiles, sacs à dos, sacs à bandoulière et conditionnements simil. et sauf sacs de couchage, matelas et coussins rembourrés)")</f>
        <v xml:space="preserve">   Articles de camping, de matières textiles (autres que de coton et sauf tentes et matelas pneumatiques, stores d'extérieur, voiles, sacs à dos, sacs à bandoulière et conditionnements simil. et sauf sacs de couchage, matelas et coussins rembourrés)</v>
      </c>
      <c r="C4704">
        <v>3178783</v>
      </c>
      <c r="D4704">
        <v>1091</v>
      </c>
    </row>
    <row r="4705" spans="1:4" x14ac:dyDescent="0.25">
      <c r="A4705" t="str">
        <f>T("   630710")</f>
        <v xml:space="preserve">   630710</v>
      </c>
      <c r="B4705" t="str">
        <f>T("   Serpillières ou wassingues, lavettes, chamoisettes et articles d'entretien simil. en tous types de matières textiles")</f>
        <v xml:space="preserve">   Serpillières ou wassingues, lavettes, chamoisettes et articles d'entretien simil. en tous types de matières textiles</v>
      </c>
      <c r="C4705">
        <v>11295429</v>
      </c>
      <c r="D4705">
        <v>9862</v>
      </c>
    </row>
    <row r="4706" spans="1:4" x14ac:dyDescent="0.25">
      <c r="A4706" t="str">
        <f>T("   630720")</f>
        <v xml:space="preserve">   630720</v>
      </c>
      <c r="B4706" t="str">
        <f>T("   Ceintures et gilets de sauvetage en tous types de matières textiles")</f>
        <v xml:space="preserve">   Ceintures et gilets de sauvetage en tous types de matières textiles</v>
      </c>
      <c r="C4706">
        <v>2384416</v>
      </c>
      <c r="D4706">
        <v>300</v>
      </c>
    </row>
    <row r="4707" spans="1:4" x14ac:dyDescent="0.25">
      <c r="A4707" t="str">
        <f>T("   630790")</f>
        <v xml:space="preserve">   630790</v>
      </c>
      <c r="B4707" t="str">
        <f>T("   Articles de matières textiles, confectionnés, y.c. les patrons de vêtements n.d.a.")</f>
        <v xml:space="preserve">   Articles de matières textiles, confectionnés, y.c. les patrons de vêtements n.d.a.</v>
      </c>
      <c r="C4707">
        <v>3669544</v>
      </c>
      <c r="D4707">
        <v>305</v>
      </c>
    </row>
    <row r="4708" spans="1:4" x14ac:dyDescent="0.25">
      <c r="A4708" t="str">
        <f>T("   630900")</f>
        <v xml:space="preserve">   630900</v>
      </c>
      <c r="B4708" t="s">
        <v>280</v>
      </c>
      <c r="C4708">
        <v>366540969</v>
      </c>
      <c r="D4708">
        <v>649272.47</v>
      </c>
    </row>
    <row r="4709" spans="1:4" x14ac:dyDescent="0.25">
      <c r="A4709" t="str">
        <f>T("   640110")</f>
        <v xml:space="preserve">   640110</v>
      </c>
      <c r="B4709" t="s">
        <v>281</v>
      </c>
      <c r="C4709">
        <v>21402400</v>
      </c>
      <c r="D4709">
        <v>3790</v>
      </c>
    </row>
    <row r="4710" spans="1:4" x14ac:dyDescent="0.25">
      <c r="A4710" t="str">
        <f>T("   640192")</f>
        <v xml:space="preserve">   640192</v>
      </c>
      <c r="B4710" t="s">
        <v>282</v>
      </c>
      <c r="C4710">
        <v>1706539</v>
      </c>
      <c r="D4710">
        <v>1300</v>
      </c>
    </row>
    <row r="4711" spans="1:4" x14ac:dyDescent="0.25">
      <c r="A4711" t="str">
        <f>T("   640199")</f>
        <v xml:space="preserve">   640199</v>
      </c>
      <c r="B4711" t="s">
        <v>281</v>
      </c>
      <c r="C4711">
        <v>67218392</v>
      </c>
      <c r="D4711">
        <v>24043</v>
      </c>
    </row>
    <row r="4712" spans="1:4" x14ac:dyDescent="0.25">
      <c r="A4712" t="str">
        <f>T("   640219")</f>
        <v xml:space="preserve">   640219</v>
      </c>
      <c r="B4712" t="s">
        <v>283</v>
      </c>
      <c r="C4712">
        <v>518278</v>
      </c>
      <c r="D4712">
        <v>91</v>
      </c>
    </row>
    <row r="4713" spans="1:4" x14ac:dyDescent="0.25">
      <c r="A4713" t="str">
        <f>T("   640230")</f>
        <v xml:space="preserve">   640230</v>
      </c>
      <c r="B4713" t="s">
        <v>284</v>
      </c>
      <c r="C4713">
        <v>1648429</v>
      </c>
      <c r="D4713">
        <v>528</v>
      </c>
    </row>
    <row r="4714" spans="1:4" x14ac:dyDescent="0.25">
      <c r="A4714" t="str">
        <f>T("   640299")</f>
        <v xml:space="preserve">   640299</v>
      </c>
      <c r="B4714" t="s">
        <v>285</v>
      </c>
      <c r="C4714">
        <v>16218695</v>
      </c>
      <c r="D4714">
        <v>6831</v>
      </c>
    </row>
    <row r="4715" spans="1:4" x14ac:dyDescent="0.25">
      <c r="A4715" t="str">
        <f>T("   640319")</f>
        <v xml:space="preserve">   640319</v>
      </c>
      <c r="B4715" t="s">
        <v>286</v>
      </c>
      <c r="C4715">
        <v>1002121</v>
      </c>
      <c r="D4715">
        <v>296</v>
      </c>
    </row>
    <row r="4716" spans="1:4" x14ac:dyDescent="0.25">
      <c r="A4716" t="str">
        <f>T("   640320")</f>
        <v xml:space="preserve">   640320</v>
      </c>
      <c r="B4716" t="str">
        <f>T("   Chaussures à semelles extérieures en cuir naturel et dessus constitués de lanières en cuir naturel passant sur le cou-de-pied et entourant le gros orteil")</f>
        <v xml:space="preserve">   Chaussures à semelles extérieures en cuir naturel et dessus constitués de lanières en cuir naturel passant sur le cou-de-pied et entourant le gros orteil</v>
      </c>
      <c r="C4716">
        <v>1021000</v>
      </c>
      <c r="D4716">
        <v>368</v>
      </c>
    </row>
    <row r="4717" spans="1:4" x14ac:dyDescent="0.25">
      <c r="A4717" t="str">
        <f>T("   640340")</f>
        <v xml:space="preserve">   640340</v>
      </c>
      <c r="B4717" t="str">
        <f>T("   Chaussures, à semelles extérieures en caoutchouc, matière plastique, cuir naturel ou reconstitué et dessus en cuir naturel, comportant à l'avant une coquille de protection en métal (sauf chaussures de sport ou d'orthopédie)")</f>
        <v xml:space="preserve">   Chaussures, à semelles extérieures en caoutchouc, matière plastique, cuir naturel ou reconstitué et dessus en cuir naturel, comportant à l'avant une coquille de protection en métal (sauf chaussures de sport ou d'orthopédie)</v>
      </c>
      <c r="C4717">
        <v>17901325</v>
      </c>
      <c r="D4717">
        <v>3391</v>
      </c>
    </row>
    <row r="4718" spans="1:4" x14ac:dyDescent="0.25">
      <c r="A4718" t="str">
        <f>T("   640391")</f>
        <v xml:space="preserve">   640391</v>
      </c>
      <c r="B4718" t="s">
        <v>287</v>
      </c>
      <c r="C4718">
        <v>6214099</v>
      </c>
      <c r="D4718">
        <v>500</v>
      </c>
    </row>
    <row r="4719" spans="1:4" x14ac:dyDescent="0.25">
      <c r="A4719" t="str">
        <f>T("   640399")</f>
        <v xml:space="preserve">   640399</v>
      </c>
      <c r="B4719" t="s">
        <v>288</v>
      </c>
      <c r="C4719">
        <v>2558899</v>
      </c>
      <c r="D4719">
        <v>181</v>
      </c>
    </row>
    <row r="4720" spans="1:4" x14ac:dyDescent="0.25">
      <c r="A4720" t="str">
        <f>T("   640411")</f>
        <v xml:space="preserve">   640411</v>
      </c>
      <c r="B4720" t="str">
        <f>T("   Chaussures de sport, y.c. chaussures dites de tennis, de basket-ball, de gymnastique, d'entraînement et chaussures simil., à semelles extérieures en caoutchouc ou en matière plastique, à dessus en matières textiles")</f>
        <v xml:space="preserve">   Chaussures de sport, y.c. chaussures dites de tennis, de basket-ball, de gymnastique, d'entraînement et chaussures simil., à semelles extérieures en caoutchouc ou en matière plastique, à dessus en matières textiles</v>
      </c>
      <c r="C4720">
        <v>6993190</v>
      </c>
      <c r="D4720">
        <v>917</v>
      </c>
    </row>
    <row r="4721" spans="1:4" x14ac:dyDescent="0.25">
      <c r="A4721" t="str">
        <f>T("   640419")</f>
        <v xml:space="preserve">   640419</v>
      </c>
      <c r="B4721" t="s">
        <v>289</v>
      </c>
      <c r="C4721">
        <v>2027966</v>
      </c>
      <c r="D4721">
        <v>2022</v>
      </c>
    </row>
    <row r="4722" spans="1:4" x14ac:dyDescent="0.25">
      <c r="A4722" t="str">
        <f>T("   640510")</f>
        <v xml:space="preserve">   640510</v>
      </c>
      <c r="B4722" t="str">
        <f>T("   Chaussures à dessus en cuir naturel ou reconstitué (sauf à semelles extérieures en caoutchouc, matière plastique, cuir naturel ou reconstitué et à dessus en cuir naturel et sauf chaussures d'orthopédie et chaussures ayant le caractère de jouets)")</f>
        <v xml:space="preserve">   Chaussures à dessus en cuir naturel ou reconstitué (sauf à semelles extérieures en caoutchouc, matière plastique, cuir naturel ou reconstitué et à dessus en cuir naturel et sauf chaussures d'orthopédie et chaussures ayant le caractère de jouets)</v>
      </c>
      <c r="C4722">
        <v>607723</v>
      </c>
      <c r="D4722">
        <v>288</v>
      </c>
    </row>
    <row r="4723" spans="1:4" x14ac:dyDescent="0.25">
      <c r="A4723" t="str">
        <f>T("   640590")</f>
        <v xml:space="preserve">   640590</v>
      </c>
      <c r="B4723" t="s">
        <v>290</v>
      </c>
      <c r="C4723">
        <v>57370194</v>
      </c>
      <c r="D4723">
        <v>17560.5</v>
      </c>
    </row>
    <row r="4724" spans="1:4" x14ac:dyDescent="0.25">
      <c r="A4724" t="str">
        <f>T("   650590")</f>
        <v xml:space="preserve">   650590</v>
      </c>
      <c r="B4724" t="s">
        <v>291</v>
      </c>
      <c r="C4724">
        <v>4075654</v>
      </c>
      <c r="D4724">
        <v>409.8</v>
      </c>
    </row>
    <row r="4725" spans="1:4" x14ac:dyDescent="0.25">
      <c r="A4725" t="str">
        <f>T("   650610")</f>
        <v xml:space="preserve">   650610</v>
      </c>
      <c r="B4725" t="str">
        <f>T("   Coiffures de sécurité, même garnies")</f>
        <v xml:space="preserve">   Coiffures de sécurité, même garnies</v>
      </c>
      <c r="C4725">
        <v>20899261</v>
      </c>
      <c r="D4725">
        <v>4563</v>
      </c>
    </row>
    <row r="4726" spans="1:4" x14ac:dyDescent="0.25">
      <c r="A4726" t="str">
        <f>T("   650691")</f>
        <v xml:space="preserve">   650691</v>
      </c>
      <c r="B4726" t="s">
        <v>292</v>
      </c>
      <c r="C4726">
        <v>22303</v>
      </c>
      <c r="D4726">
        <v>13</v>
      </c>
    </row>
    <row r="4727" spans="1:4" x14ac:dyDescent="0.25">
      <c r="A4727" t="str">
        <f>T("   650699")</f>
        <v xml:space="preserve">   650699</v>
      </c>
      <c r="B4727" t="str">
        <f>T("   Chapeaux et autres coiffures, même garnis, n.d.a.")</f>
        <v xml:space="preserve">   Chapeaux et autres coiffures, même garnis, n.d.a.</v>
      </c>
      <c r="C4727">
        <v>23459978</v>
      </c>
      <c r="D4727">
        <v>1292</v>
      </c>
    </row>
    <row r="4728" spans="1:4" x14ac:dyDescent="0.25">
      <c r="A4728" t="str">
        <f>T("   660110")</f>
        <v xml:space="preserve">   660110</v>
      </c>
      <c r="B4728" t="str">
        <f>T("   Parasols de jardin et articles simil. (sauf tentes de plage)")</f>
        <v xml:space="preserve">   Parasols de jardin et articles simil. (sauf tentes de plage)</v>
      </c>
      <c r="C4728">
        <v>852092</v>
      </c>
      <c r="D4728">
        <v>417</v>
      </c>
    </row>
    <row r="4729" spans="1:4" x14ac:dyDescent="0.25">
      <c r="A4729" t="str">
        <f>T("   660199")</f>
        <v xml:space="preserve">   660199</v>
      </c>
      <c r="B4729" t="str">
        <f>T("   Parapluies, y.c. les parapluies-cannes et ombrelles (sauf parapluies et ombrelles à mât ou à manche télescopique, parasols de jardin et articles simil. et sauf jouets d'enfants)")</f>
        <v xml:space="preserve">   Parapluies, y.c. les parapluies-cannes et ombrelles (sauf parapluies et ombrelles à mât ou à manche télescopique, parasols de jardin et articles simil. et sauf jouets d'enfants)</v>
      </c>
      <c r="C4729">
        <v>3599252</v>
      </c>
      <c r="D4729">
        <v>958</v>
      </c>
    </row>
    <row r="4730" spans="1:4" x14ac:dyDescent="0.25">
      <c r="A4730" t="str">
        <f>T("   660200")</f>
        <v xml:space="preserve">   660200</v>
      </c>
      <c r="B4730" t="str">
        <f>T("   Cannes, cannes-sièges, fouets, cravaches et articles simil. (sauf cannes-mesures, béquilles, cannes ayant le caractère d'armes et cannes de sport)")</f>
        <v xml:space="preserve">   Cannes, cannes-sièges, fouets, cravaches et articles simil. (sauf cannes-mesures, béquilles, cannes ayant le caractère d'armes et cannes de sport)</v>
      </c>
      <c r="C4730">
        <v>1189255</v>
      </c>
      <c r="D4730">
        <v>493</v>
      </c>
    </row>
    <row r="4731" spans="1:4" x14ac:dyDescent="0.25">
      <c r="A4731" t="str">
        <f>T("   670210")</f>
        <v xml:space="preserve">   670210</v>
      </c>
      <c r="B4731" t="str">
        <f>T("   Fleurs, feuillages et fruits artificiels, y.c. leurs parties; articles confectionnés en fleurs, feuillages ou fruits artificiels fabriqués par ligature, collage, emboîtage ou procédés simil., en matières plastiques")</f>
        <v xml:space="preserve">   Fleurs, feuillages et fruits artificiels, y.c. leurs parties; articles confectionnés en fleurs, feuillages ou fruits artificiels fabriqués par ligature, collage, emboîtage ou procédés simil., en matières plastiques</v>
      </c>
      <c r="C4731">
        <v>3941008</v>
      </c>
      <c r="D4731">
        <v>456</v>
      </c>
    </row>
    <row r="4732" spans="1:4" x14ac:dyDescent="0.25">
      <c r="A4732" t="str">
        <f>T("   670290")</f>
        <v xml:space="preserve">   670290</v>
      </c>
      <c r="B4732" t="str">
        <f>T("   Fleurs, feuillages et fruits artificiels, y.c. leurs parties; articles confectionnés en fleurs, feuillages ou fruits artificiels fabriqués par ligature, collage, emboîtage ou procédés simil. (autres qu'en matière plastique)")</f>
        <v xml:space="preserve">   Fleurs, feuillages et fruits artificiels, y.c. leurs parties; articles confectionnés en fleurs, feuillages ou fruits artificiels fabriqués par ligature, collage, emboîtage ou procédés simil. (autres qu'en matière plastique)</v>
      </c>
      <c r="C4732">
        <v>12028341</v>
      </c>
      <c r="D4732">
        <v>2143</v>
      </c>
    </row>
    <row r="4733" spans="1:4" x14ac:dyDescent="0.25">
      <c r="A4733" t="str">
        <f>T("   680100")</f>
        <v xml:space="preserve">   680100</v>
      </c>
      <c r="B4733" t="str">
        <f>T("   Pavés, bordures de trottoirs et dalles de pavage, en pierres naturelles (autres que l'ardoise)")</f>
        <v xml:space="preserve">   Pavés, bordures de trottoirs et dalles de pavage, en pierres naturelles (autres que l'ardoise)</v>
      </c>
      <c r="C4733">
        <v>1006243</v>
      </c>
      <c r="D4733">
        <v>1924</v>
      </c>
    </row>
    <row r="4734" spans="1:4" x14ac:dyDescent="0.25">
      <c r="A4734" t="str">
        <f>T("   680210")</f>
        <v xml:space="preserve">   680210</v>
      </c>
      <c r="B4734" t="s">
        <v>293</v>
      </c>
      <c r="C4734">
        <v>913752</v>
      </c>
      <c r="D4734">
        <v>853</v>
      </c>
    </row>
    <row r="4735" spans="1:4" x14ac:dyDescent="0.25">
      <c r="A4735" t="str">
        <f>T("   680299")</f>
        <v xml:space="preserve">   680299</v>
      </c>
      <c r="B4735" t="s">
        <v>297</v>
      </c>
      <c r="C4735">
        <v>784528</v>
      </c>
      <c r="D4735">
        <v>410</v>
      </c>
    </row>
    <row r="4736" spans="1:4" x14ac:dyDescent="0.25">
      <c r="A4736" t="str">
        <f>T("   680422")</f>
        <v xml:space="preserve">   680422</v>
      </c>
      <c r="B4736" t="s">
        <v>298</v>
      </c>
      <c r="C4736">
        <v>9508965</v>
      </c>
      <c r="D4736">
        <v>4447</v>
      </c>
    </row>
    <row r="4737" spans="1:4" x14ac:dyDescent="0.25">
      <c r="A4737" t="str">
        <f>T("   680430")</f>
        <v xml:space="preserve">   680430</v>
      </c>
      <c r="B4737" t="str">
        <f>T("   Pierres à aiguiser ou à polir à la main")</f>
        <v xml:space="preserve">   Pierres à aiguiser ou à polir à la main</v>
      </c>
      <c r="C4737">
        <v>2146957</v>
      </c>
      <c r="D4737">
        <v>3234</v>
      </c>
    </row>
    <row r="4738" spans="1:4" x14ac:dyDescent="0.25">
      <c r="A4738" t="str">
        <f>T("   680510")</f>
        <v xml:space="preserve">   680510</v>
      </c>
      <c r="B4738" t="str">
        <f>T("   Abrasifs naturels ou artificiels en poudre ou en grains, appliqués sur fond en matières textiles seulement, même découpés, cousus ou autrement assemblés")</f>
        <v xml:space="preserve">   Abrasifs naturels ou artificiels en poudre ou en grains, appliqués sur fond en matières textiles seulement, même découpés, cousus ou autrement assemblés</v>
      </c>
      <c r="C4738">
        <v>409975</v>
      </c>
      <c r="D4738">
        <v>135</v>
      </c>
    </row>
    <row r="4739" spans="1:4" x14ac:dyDescent="0.25">
      <c r="A4739" t="str">
        <f>T("   680520")</f>
        <v xml:space="preserve">   680520</v>
      </c>
      <c r="B4739" t="str">
        <f>T("   ABRASIFS NATURELS OU ARTIFICIELS EN POUDRE OU EN GRAINS, APPLIQUÉS SUR FOND EN MATIÈRES TEXTILES SEULEMENT, MÊME DÉCOUPÉS, COUSUS OU AUTREMENT ASSEMBLÉS")</f>
        <v xml:space="preserve">   ABRASIFS NATURELS OU ARTIFICIELS EN POUDRE OU EN GRAINS, APPLIQUÉS SUR FOND EN MATIÈRES TEXTILES SEULEMENT, MÊME DÉCOUPÉS, COUSUS OU AUTREMENT ASSEMBLÉS</v>
      </c>
      <c r="C4739">
        <v>4253521</v>
      </c>
      <c r="D4739">
        <v>11271</v>
      </c>
    </row>
    <row r="4740" spans="1:4" x14ac:dyDescent="0.25">
      <c r="A4740" t="str">
        <f>T("   680530")</f>
        <v xml:space="preserve">   680530</v>
      </c>
      <c r="B4740" t="str">
        <f>T("   Abrasifs naturels ou artificiels en poudre ou en grains, appliqués sur un autre fond que des matières textiles seulement ou que du papier ou du carton seulement, même découpés, cousus ou autrement assemblés")</f>
        <v xml:space="preserve">   Abrasifs naturels ou artificiels en poudre ou en grains, appliqués sur un autre fond que des matières textiles seulement ou que du papier ou du carton seulement, même découpés, cousus ou autrement assemblés</v>
      </c>
      <c r="C4740">
        <v>1866219</v>
      </c>
      <c r="D4740">
        <v>3178</v>
      </c>
    </row>
    <row r="4741" spans="1:4" x14ac:dyDescent="0.25">
      <c r="A4741" t="str">
        <f>T("   680610")</f>
        <v xml:space="preserve">   680610</v>
      </c>
      <c r="B4741" t="str">
        <f>T("   Laines de laitier, de scories, de roche et laines minérales simil., même mélangées entre elles, en masses, feuilles ou rouleaux")</f>
        <v xml:space="preserve">   Laines de laitier, de scories, de roche et laines minérales simil., même mélangées entre elles, en masses, feuilles ou rouleaux</v>
      </c>
      <c r="C4741">
        <v>898010</v>
      </c>
      <c r="D4741">
        <v>142</v>
      </c>
    </row>
    <row r="4742" spans="1:4" x14ac:dyDescent="0.25">
      <c r="A4742" t="str">
        <f>T("   680690")</f>
        <v xml:space="preserve">   680690</v>
      </c>
      <c r="B4742" t="s">
        <v>299</v>
      </c>
      <c r="C4742">
        <v>5037773</v>
      </c>
      <c r="D4742">
        <v>9465</v>
      </c>
    </row>
    <row r="4743" spans="1:4" x14ac:dyDescent="0.25">
      <c r="A4743" t="str">
        <f>T("   680710")</f>
        <v xml:space="preserve">   680710</v>
      </c>
      <c r="B4743" t="str">
        <f>T("   Ouvrages en asphalte ou en produits simil., p.ex. poix de pétrole, brais, en rouleaux")</f>
        <v xml:space="preserve">   Ouvrages en asphalte ou en produits simil., p.ex. poix de pétrole, brais, en rouleaux</v>
      </c>
      <c r="C4743">
        <v>108853404</v>
      </c>
      <c r="D4743">
        <v>291607</v>
      </c>
    </row>
    <row r="4744" spans="1:4" x14ac:dyDescent="0.25">
      <c r="A4744" t="str">
        <f>T("   680790")</f>
        <v xml:space="preserve">   680790</v>
      </c>
      <c r="B4744" t="str">
        <f>T("   Ouvrages en asphalte ou en produits simil., p.ex. poix de pétrole, brais (autres qu'en rouleaux)")</f>
        <v xml:space="preserve">   Ouvrages en asphalte ou en produits simil., p.ex. poix de pétrole, brais (autres qu'en rouleaux)</v>
      </c>
      <c r="C4744">
        <v>3675755</v>
      </c>
      <c r="D4744">
        <v>5685</v>
      </c>
    </row>
    <row r="4745" spans="1:4" x14ac:dyDescent="0.25">
      <c r="A4745" t="str">
        <f>T("   680919")</f>
        <v xml:space="preserve">   680919</v>
      </c>
      <c r="B4745" t="s">
        <v>301</v>
      </c>
      <c r="C4745">
        <v>19903938</v>
      </c>
      <c r="D4745">
        <v>421050</v>
      </c>
    </row>
    <row r="4746" spans="1:4" x14ac:dyDescent="0.25">
      <c r="A4746" t="str">
        <f>T("   680990")</f>
        <v xml:space="preserve">   680990</v>
      </c>
      <c r="B4746" t="s">
        <v>302</v>
      </c>
      <c r="C4746">
        <v>17284321</v>
      </c>
      <c r="D4746">
        <v>421050</v>
      </c>
    </row>
    <row r="4747" spans="1:4" x14ac:dyDescent="0.25">
      <c r="A4747" t="str">
        <f>T("   681019")</f>
        <v xml:space="preserve">   681019</v>
      </c>
      <c r="B4747" t="str">
        <f>T("   Tuiles, carreaux, dalles et articles simil., en ciment, en béton ou en pierre artificielle (autres que blocs et briques pour la construction)")</f>
        <v xml:space="preserve">   Tuiles, carreaux, dalles et articles simil., en ciment, en béton ou en pierre artificielle (autres que blocs et briques pour la construction)</v>
      </c>
      <c r="C4747">
        <v>2231761</v>
      </c>
      <c r="D4747">
        <v>3465</v>
      </c>
    </row>
    <row r="4748" spans="1:4" x14ac:dyDescent="0.25">
      <c r="A4748" t="str">
        <f>T("   681091")</f>
        <v xml:space="preserve">   681091</v>
      </c>
      <c r="B4748" t="str">
        <f>T("   ÉLÉMENTS PRÉFABRIQUÉS POUR LE BÂTIMENT OU LE GÉNIE CIVIL, EN CIMENT, EN BÉTON OU EN PIERRE ARTIFICIELLE, MÊME ARMÉS")</f>
        <v xml:space="preserve">   ÉLÉMENTS PRÉFABRIQUÉS POUR LE BÂTIMENT OU LE GÉNIE CIVIL, EN CIMENT, EN BÉTON OU EN PIERRE ARTIFICIELLE, MÊME ARMÉS</v>
      </c>
      <c r="C4748">
        <v>354874</v>
      </c>
      <c r="D4748">
        <v>1311</v>
      </c>
    </row>
    <row r="4749" spans="1:4" x14ac:dyDescent="0.25">
      <c r="A4749" t="str">
        <f>T("   681099")</f>
        <v xml:space="preserve">   681099</v>
      </c>
      <c r="B4749" t="str">
        <f>T("   Ouvrages en ciment, en béton ou en pierres artificielles, même armés (sauf éléments préfabriqués pour le bâtiment ou le génie civil; tuiles, carreaux, dalles, briques et articles simil.)")</f>
        <v xml:space="preserve">   Ouvrages en ciment, en béton ou en pierres artificielles, même armés (sauf éléments préfabriqués pour le bâtiment ou le génie civil; tuiles, carreaux, dalles, briques et articles simil.)</v>
      </c>
      <c r="C4749">
        <v>4653380</v>
      </c>
      <c r="D4749">
        <v>21990</v>
      </c>
    </row>
    <row r="4750" spans="1:4" x14ac:dyDescent="0.25">
      <c r="A4750" t="str">
        <f>T("   681120")</f>
        <v xml:space="preserve">   681120</v>
      </c>
      <c r="B4750" t="str">
        <f>T("   Plaques, panneaux, carreaux, tuiles et articles simil., en amiante-ciment, cellulose-ciment ou simil. (sauf plaques ondulées)")</f>
        <v xml:space="preserve">   Plaques, panneaux, carreaux, tuiles et articles simil., en amiante-ciment, cellulose-ciment ou simil. (sauf plaques ondulées)</v>
      </c>
      <c r="C4750">
        <v>28554594</v>
      </c>
      <c r="D4750">
        <v>335503</v>
      </c>
    </row>
    <row r="4751" spans="1:4" x14ac:dyDescent="0.25">
      <c r="A4751" t="str">
        <f>T("   681310")</f>
        <v xml:space="preserve">   681310</v>
      </c>
      <c r="B4751" t="str">
        <f>T("   Garnitures de freins et plaquettes de freins, à base d'amiante, d'autres substances minérales ou de cellulose, même combinées à des matières textiles ou d'autres matières et destinées aux aéronefs civils")</f>
        <v xml:space="preserve">   Garnitures de freins et plaquettes de freins, à base d'amiante, d'autres substances minérales ou de cellulose, même combinées à des matières textiles ou d'autres matières et destinées aux aéronefs civils</v>
      </c>
      <c r="C4751">
        <v>335745</v>
      </c>
      <c r="D4751">
        <v>12</v>
      </c>
    </row>
    <row r="4752" spans="1:4" x14ac:dyDescent="0.25">
      <c r="A4752" t="str">
        <f>T("   690390")</f>
        <v xml:space="preserve">   690390</v>
      </c>
      <c r="B4752" t="s">
        <v>307</v>
      </c>
      <c r="C4752">
        <v>960325</v>
      </c>
      <c r="D4752">
        <v>1</v>
      </c>
    </row>
    <row r="4753" spans="1:4" x14ac:dyDescent="0.25">
      <c r="A4753" t="str">
        <f>T("   690510")</f>
        <v xml:space="preserve">   690510</v>
      </c>
      <c r="B4753" t="str">
        <f>T("   Tuiles")</f>
        <v xml:space="preserve">   Tuiles</v>
      </c>
      <c r="C4753">
        <v>21990378</v>
      </c>
      <c r="D4753">
        <v>182537</v>
      </c>
    </row>
    <row r="4754" spans="1:4" x14ac:dyDescent="0.25">
      <c r="A4754" t="str">
        <f>T("   690590")</f>
        <v xml:space="preserve">   690590</v>
      </c>
      <c r="B4754" t="s">
        <v>308</v>
      </c>
      <c r="C4754">
        <v>4344080</v>
      </c>
      <c r="D4754">
        <v>41315</v>
      </c>
    </row>
    <row r="4755" spans="1:4" x14ac:dyDescent="0.25">
      <c r="A4755" t="str">
        <f>T("   690790")</f>
        <v xml:space="preserve">   690790</v>
      </c>
      <c r="B4755" t="s">
        <v>310</v>
      </c>
      <c r="C4755">
        <v>43699701</v>
      </c>
      <c r="D4755">
        <v>219480</v>
      </c>
    </row>
    <row r="4756" spans="1:4" x14ac:dyDescent="0.25">
      <c r="A4756" t="str">
        <f>T("   690810")</f>
        <v xml:space="preserve">   690810</v>
      </c>
      <c r="B4756" t="str">
        <f>T("   Carreaux, cubes, dés et simil., en céramique, pour mosaïques, vernissés ou émaillés, même de forme autre que carrée ou rectangulaire, dont la plus grande surface peut être inscrite dans un carré de côté &lt; 7 cm, même sur support")</f>
        <v xml:space="preserve">   Carreaux, cubes, dés et simil., en céramique, pour mosaïques, vernissés ou émaillés, même de forme autre que carrée ou rectangulaire, dont la plus grande surface peut être inscrite dans un carré de côté &lt; 7 cm, même sur support</v>
      </c>
      <c r="C4756">
        <v>13165826</v>
      </c>
      <c r="D4756">
        <v>149760</v>
      </c>
    </row>
    <row r="4757" spans="1:4" x14ac:dyDescent="0.25">
      <c r="A4757" t="str">
        <f>T("   690890")</f>
        <v xml:space="preserve">   690890</v>
      </c>
      <c r="B4757" t="s">
        <v>311</v>
      </c>
      <c r="C4757">
        <v>492930807</v>
      </c>
      <c r="D4757">
        <v>4322015</v>
      </c>
    </row>
    <row r="4758" spans="1:4" x14ac:dyDescent="0.25">
      <c r="A4758" t="str">
        <f>T("   690911")</f>
        <v xml:space="preserve">   690911</v>
      </c>
      <c r="B4758" t="str">
        <f>T("   Appareils et articles en porcelaine, pour usages chimiques ou autres usages techniques (sauf articles céramiques réfractaires et sauf appareils électriques, isolateurs et autres pièces isolantes électriques)")</f>
        <v xml:space="preserve">   Appareils et articles en porcelaine, pour usages chimiques ou autres usages techniques (sauf articles céramiques réfractaires et sauf appareils électriques, isolateurs et autres pièces isolantes électriques)</v>
      </c>
      <c r="C4758">
        <v>59036</v>
      </c>
      <c r="D4758">
        <v>5</v>
      </c>
    </row>
    <row r="4759" spans="1:4" x14ac:dyDescent="0.25">
      <c r="A4759" t="str">
        <f>T("   691010")</f>
        <v xml:space="preserve">   691010</v>
      </c>
      <c r="B4759" t="s">
        <v>312</v>
      </c>
      <c r="C4759">
        <v>8515014</v>
      </c>
      <c r="D4759">
        <v>16436</v>
      </c>
    </row>
    <row r="4760" spans="1:4" x14ac:dyDescent="0.25">
      <c r="A4760" t="str">
        <f>T("   691090")</f>
        <v xml:space="preserve">   691090</v>
      </c>
      <c r="B4760" t="s">
        <v>313</v>
      </c>
      <c r="C4760">
        <v>62650297</v>
      </c>
      <c r="D4760">
        <v>191876</v>
      </c>
    </row>
    <row r="4761" spans="1:4" x14ac:dyDescent="0.25">
      <c r="A4761" t="str">
        <f>T("   691110")</f>
        <v xml:space="preserve">   691110</v>
      </c>
      <c r="B4761" t="s">
        <v>314</v>
      </c>
      <c r="C4761">
        <v>49273720</v>
      </c>
      <c r="D4761">
        <v>13491</v>
      </c>
    </row>
    <row r="4762" spans="1:4" x14ac:dyDescent="0.25">
      <c r="A4762" t="str">
        <f>T("   691190")</f>
        <v xml:space="preserve">   691190</v>
      </c>
      <c r="B4762" t="s">
        <v>315</v>
      </c>
      <c r="C4762">
        <v>5269413</v>
      </c>
      <c r="D4762">
        <v>10620</v>
      </c>
    </row>
    <row r="4763" spans="1:4" x14ac:dyDescent="0.25">
      <c r="A4763" t="str">
        <f>T("   691200")</f>
        <v xml:space="preserve">   691200</v>
      </c>
      <c r="B4763" t="s">
        <v>316</v>
      </c>
      <c r="C4763">
        <v>2903951</v>
      </c>
      <c r="D4763">
        <v>2622</v>
      </c>
    </row>
    <row r="4764" spans="1:4" x14ac:dyDescent="0.25">
      <c r="A4764" t="str">
        <f>T("   691390")</f>
        <v xml:space="preserve">   691390</v>
      </c>
      <c r="B4764" t="str">
        <f>T("   Statuettes et autres objets d'ornementation en céramique autres que la porcelaine n.d.a.")</f>
        <v xml:space="preserve">   Statuettes et autres objets d'ornementation en céramique autres que la porcelaine n.d.a.</v>
      </c>
      <c r="C4764">
        <v>2894095</v>
      </c>
      <c r="D4764">
        <v>500</v>
      </c>
    </row>
    <row r="4765" spans="1:4" x14ac:dyDescent="0.25">
      <c r="A4765" t="str">
        <f>T("   700239")</f>
        <v xml:space="preserve">   700239</v>
      </c>
      <c r="B4765" t="str">
        <f>T("   Tubes en verre non travaillé (sauf à coefficient de dilatation linéaire &lt;= 5 x 10-6, par kelvin entre 0°C et 300°C et sauf en quartz fondu ou en un autre silice fondu)")</f>
        <v xml:space="preserve">   Tubes en verre non travaillé (sauf à coefficient de dilatation linéaire &lt;= 5 x 10-6, par kelvin entre 0°C et 300°C et sauf en quartz fondu ou en un autre silice fondu)</v>
      </c>
      <c r="C4765">
        <v>955299</v>
      </c>
      <c r="D4765">
        <v>274</v>
      </c>
    </row>
    <row r="4766" spans="1:4" x14ac:dyDescent="0.25">
      <c r="A4766" t="str">
        <f>T("   700490")</f>
        <v xml:space="preserve">   700490</v>
      </c>
      <c r="B4766" t="str">
        <f>T("   FEUILLES EN VERRE ÉTIRÉ OU SOUFFLÉ MAIS NON AUTREMENT TRAVAILLÉ (AUTRES QU'EN VERRE COLORÉ DANS LA MASSE, OPACIFIÉ, PLAQUÉ [DOUBLÉ], OU À COUCHE ABSORBANTE, RÉFLÉCHISSANTE OU NON-RÉFLÉCHISSANTE)")</f>
        <v xml:space="preserve">   FEUILLES EN VERRE ÉTIRÉ OU SOUFFLÉ MAIS NON AUTREMENT TRAVAILLÉ (AUTRES QU'EN VERRE COLORÉ DANS LA MASSE, OPACIFIÉ, PLAQUÉ [DOUBLÉ], OU À COUCHE ABSORBANTE, RÉFLÉCHISSANTE OU NON-RÉFLÉCHISSANTE)</v>
      </c>
      <c r="C4766">
        <v>12102000</v>
      </c>
      <c r="D4766">
        <v>52800</v>
      </c>
    </row>
    <row r="4767" spans="1:4" x14ac:dyDescent="0.25">
      <c r="A4767" t="str">
        <f>T("   700529")</f>
        <v xml:space="preserve">   700529</v>
      </c>
      <c r="B4767" t="s">
        <v>318</v>
      </c>
      <c r="C4767">
        <v>4686178</v>
      </c>
      <c r="D4767">
        <v>25000</v>
      </c>
    </row>
    <row r="4768" spans="1:4" x14ac:dyDescent="0.25">
      <c r="A4768" t="str">
        <f>T("   700711")</f>
        <v xml:space="preserve">   700711</v>
      </c>
      <c r="B4768" t="str">
        <f>T("   VERRES TREMPÉS DE DIMENSIONS ET FORMATS PERMETTANT LEUR EMPLOI DANS LES AUTOMOBILES, VÉHICULES AÉRIENS, BATEAUX OU AUTRES VÉHICULES [01/01/1988-31/12/1988: VERRES TREMPES, -DE SECURITE-, POUR AUTOMOBILES, AERODYNES, BATEAUX OU AUTRES VÉHICULES]")</f>
        <v xml:space="preserve">   VERRES TREMPÉS DE DIMENSIONS ET FORMATS PERMETTANT LEUR EMPLOI DANS LES AUTOMOBILES, VÉHICULES AÉRIENS, BATEAUX OU AUTRES VÉHICULES [01/01/1988-31/12/1988: VERRES TREMPES, -DE SECURITE-, POUR AUTOMOBILES, AERODYNES, BATEAUX OU AUTRES VÉHICULES]</v>
      </c>
      <c r="C4768">
        <v>5107199</v>
      </c>
      <c r="D4768">
        <v>954</v>
      </c>
    </row>
    <row r="4769" spans="1:4" x14ac:dyDescent="0.25">
      <c r="A4769" t="str">
        <f>T("   700719")</f>
        <v xml:space="preserve">   700719</v>
      </c>
      <c r="B4769" t="s">
        <v>320</v>
      </c>
      <c r="C4769">
        <v>346347</v>
      </c>
      <c r="D4769">
        <v>180</v>
      </c>
    </row>
    <row r="4770" spans="1:4" x14ac:dyDescent="0.25">
      <c r="A4770" t="str">
        <f>T("   700721")</f>
        <v xml:space="preserve">   700721</v>
      </c>
      <c r="B4770" t="s">
        <v>321</v>
      </c>
      <c r="C4770">
        <v>4424916</v>
      </c>
      <c r="D4770">
        <v>459</v>
      </c>
    </row>
    <row r="4771" spans="1:4" x14ac:dyDescent="0.25">
      <c r="A4771" t="str">
        <f>T("   700729")</f>
        <v xml:space="preserve">   700729</v>
      </c>
      <c r="B4771" t="s">
        <v>322</v>
      </c>
      <c r="C4771">
        <v>1362429</v>
      </c>
      <c r="D4771">
        <v>273</v>
      </c>
    </row>
    <row r="4772" spans="1:4" x14ac:dyDescent="0.25">
      <c r="A4772" t="str">
        <f>T("   700910")</f>
        <v xml:space="preserve">   700910</v>
      </c>
      <c r="B4772" t="str">
        <f>T("   Miroirs rétroviseurs en verre, même encadrés, pour véhicules")</f>
        <v xml:space="preserve">   Miroirs rétroviseurs en verre, même encadrés, pour véhicules</v>
      </c>
      <c r="C4772">
        <v>7684481</v>
      </c>
      <c r="D4772">
        <v>756</v>
      </c>
    </row>
    <row r="4773" spans="1:4" x14ac:dyDescent="0.25">
      <c r="A4773" t="str">
        <f>T("   700991")</f>
        <v xml:space="preserve">   700991</v>
      </c>
      <c r="B4773" t="str">
        <f>T("   Miroirs en verre non encadrés (sauf miroirs rétroviseurs pour véhicules, miroirs optiques, optiquement travaillés et miroirs de plus de 100 ans)")</f>
        <v xml:space="preserve">   Miroirs en verre non encadrés (sauf miroirs rétroviseurs pour véhicules, miroirs optiques, optiquement travaillés et miroirs de plus de 100 ans)</v>
      </c>
      <c r="C4773">
        <v>218101</v>
      </c>
      <c r="D4773">
        <v>63</v>
      </c>
    </row>
    <row r="4774" spans="1:4" x14ac:dyDescent="0.25">
      <c r="A4774" t="str">
        <f>T("   700992")</f>
        <v xml:space="preserve">   700992</v>
      </c>
      <c r="B4774" t="str">
        <f>T("   Miroirs, en verre encadrés (sauf miroirs rétroviseurs pour véhicules)")</f>
        <v xml:space="preserve">   Miroirs, en verre encadrés (sauf miroirs rétroviseurs pour véhicules)</v>
      </c>
      <c r="C4774">
        <v>5761181</v>
      </c>
      <c r="D4774">
        <v>3395</v>
      </c>
    </row>
    <row r="4775" spans="1:4" x14ac:dyDescent="0.25">
      <c r="A4775" t="str">
        <f>T("   701090")</f>
        <v xml:space="preserve">   701090</v>
      </c>
      <c r="B4775" t="s">
        <v>323</v>
      </c>
      <c r="C4775">
        <v>225729785</v>
      </c>
      <c r="D4775">
        <v>754533</v>
      </c>
    </row>
    <row r="4776" spans="1:4" x14ac:dyDescent="0.25">
      <c r="A4776" t="str">
        <f>T("   701190")</f>
        <v xml:space="preserve">   701190</v>
      </c>
      <c r="B4776" t="str">
        <f>T("   Ampoules en verre, ouvertes, et enveloppes tubulaires en verre, ouvertes, et leurs parties en verre, sans garnitures, destinées à des lampes électriques ou simil. (autres que pour l'éclairage électrique ou pour tubes cathodique)")</f>
        <v xml:space="preserve">   Ampoules en verre, ouvertes, et enveloppes tubulaires en verre, ouvertes, et leurs parties en verre, sans garnitures, destinées à des lampes électriques ou simil. (autres que pour l'éclairage électrique ou pour tubes cathodique)</v>
      </c>
      <c r="C4776">
        <v>234787</v>
      </c>
      <c r="D4776">
        <v>882</v>
      </c>
    </row>
    <row r="4777" spans="1:4" x14ac:dyDescent="0.25">
      <c r="A4777" t="str">
        <f>T("   701329")</f>
        <v xml:space="preserve">   701329</v>
      </c>
      <c r="B4777" t="str">
        <f>T("   Verres à boire (autres qu'en vitrocérame, autres qu'en cristal au plomb)")</f>
        <v xml:space="preserve">   Verres à boire (autres qu'en vitrocérame, autres qu'en cristal au plomb)</v>
      </c>
      <c r="C4777">
        <v>21714943</v>
      </c>
      <c r="D4777">
        <v>8900</v>
      </c>
    </row>
    <row r="4778" spans="1:4" x14ac:dyDescent="0.25">
      <c r="A4778" t="str">
        <f>T("   701332")</f>
        <v xml:space="preserve">   701332</v>
      </c>
      <c r="B4778" t="s">
        <v>326</v>
      </c>
      <c r="C4778">
        <v>1019302</v>
      </c>
      <c r="D4778">
        <v>147</v>
      </c>
    </row>
    <row r="4779" spans="1:4" x14ac:dyDescent="0.25">
      <c r="A4779" t="str">
        <f>T("   701339")</f>
        <v xml:space="preserve">   701339</v>
      </c>
      <c r="B4779" t="s">
        <v>327</v>
      </c>
      <c r="C4779">
        <v>31481709</v>
      </c>
      <c r="D4779">
        <v>11017</v>
      </c>
    </row>
    <row r="4780" spans="1:4" x14ac:dyDescent="0.25">
      <c r="A4780" t="str">
        <f>T("   701399")</f>
        <v xml:space="preserve">   701399</v>
      </c>
      <c r="B4780" t="s">
        <v>328</v>
      </c>
      <c r="C4780">
        <v>25947079</v>
      </c>
      <c r="D4780">
        <v>7779</v>
      </c>
    </row>
    <row r="4781" spans="1:4" x14ac:dyDescent="0.25">
      <c r="A4781" t="str">
        <f>T("   701590")</f>
        <v xml:space="preserve">   701590</v>
      </c>
      <c r="B4781" t="s">
        <v>329</v>
      </c>
      <c r="C4781">
        <v>53133</v>
      </c>
      <c r="D4781">
        <v>2</v>
      </c>
    </row>
    <row r="4782" spans="1:4" x14ac:dyDescent="0.25">
      <c r="A4782" t="str">
        <f>T("   701690")</f>
        <v xml:space="preserve">   701690</v>
      </c>
      <c r="B4782" t="s">
        <v>330</v>
      </c>
      <c r="C4782">
        <v>5352166</v>
      </c>
      <c r="D4782">
        <v>20000</v>
      </c>
    </row>
    <row r="4783" spans="1:4" x14ac:dyDescent="0.25">
      <c r="A4783" t="str">
        <f>T("   701720")</f>
        <v xml:space="preserve">   701720</v>
      </c>
      <c r="B4783" t="s">
        <v>331</v>
      </c>
      <c r="C4783">
        <v>2017427</v>
      </c>
      <c r="D4783">
        <v>158</v>
      </c>
    </row>
    <row r="4784" spans="1:4" x14ac:dyDescent="0.25">
      <c r="A4784" t="str">
        <f>T("   701790")</f>
        <v xml:space="preserve">   701790</v>
      </c>
      <c r="B4784" t="s">
        <v>332</v>
      </c>
      <c r="C4784">
        <v>16298790</v>
      </c>
      <c r="D4784">
        <v>772</v>
      </c>
    </row>
    <row r="4785" spans="1:4" x14ac:dyDescent="0.25">
      <c r="A4785" t="str">
        <f>T("   701931")</f>
        <v xml:space="preserve">   701931</v>
      </c>
      <c r="B4785" t="str">
        <f>T("   Mats de fibres de verre en couches irrégulières")</f>
        <v xml:space="preserve">   Mats de fibres de verre en couches irrégulières</v>
      </c>
      <c r="C4785">
        <v>3928066</v>
      </c>
      <c r="D4785">
        <v>5390</v>
      </c>
    </row>
    <row r="4786" spans="1:4" x14ac:dyDescent="0.25">
      <c r="A4786" t="str">
        <f>T("   701990")</f>
        <v xml:space="preserve">   701990</v>
      </c>
      <c r="B4786" t="s">
        <v>333</v>
      </c>
      <c r="C4786">
        <v>4730174</v>
      </c>
      <c r="D4786">
        <v>274</v>
      </c>
    </row>
    <row r="4787" spans="1:4" x14ac:dyDescent="0.25">
      <c r="A4787" t="str">
        <f>T("   702000")</f>
        <v xml:space="preserve">   702000</v>
      </c>
      <c r="B4787" t="str">
        <f>T("   Ouvrages en verre n.d.a.")</f>
        <v xml:space="preserve">   Ouvrages en verre n.d.a.</v>
      </c>
      <c r="C4787">
        <v>2825974</v>
      </c>
      <c r="D4787">
        <v>642</v>
      </c>
    </row>
    <row r="4788" spans="1:4" x14ac:dyDescent="0.25">
      <c r="A4788" t="str">
        <f>T("   710110")</f>
        <v xml:space="preserve">   710110</v>
      </c>
      <c r="B4788" t="str">
        <f>T("   Perles fines, même travaillées ou assorties, mais non enfilées, ni montées, ni serties, et perles fines enfilées temporairement pour la facilité du transport (à l'excl. des perles-mères de nacre)")</f>
        <v xml:space="preserve">   Perles fines, même travaillées ou assorties, mais non enfilées, ni montées, ni serties, et perles fines enfilées temporairement pour la facilité du transport (à l'excl. des perles-mères de nacre)</v>
      </c>
      <c r="C4788">
        <v>306192</v>
      </c>
      <c r="D4788">
        <v>130</v>
      </c>
    </row>
    <row r="4789" spans="1:4" x14ac:dyDescent="0.25">
      <c r="A4789" t="str">
        <f>T("   711319")</f>
        <v xml:space="preserve">   711319</v>
      </c>
      <c r="B4789" t="str">
        <f>T("   Articles de bijouterie ou de joaillerie et leurs parties, en métaux précieux autres que l'argent, même revêtus, plaqués ou doublés de métaux précieux (sauf &gt; 100 ans)")</f>
        <v xml:space="preserve">   Articles de bijouterie ou de joaillerie et leurs parties, en métaux précieux autres que l'argent, même revêtus, plaqués ou doublés de métaux précieux (sauf &gt; 100 ans)</v>
      </c>
      <c r="C4789">
        <v>698670</v>
      </c>
      <c r="D4789">
        <v>466</v>
      </c>
    </row>
    <row r="4790" spans="1:4" x14ac:dyDescent="0.25">
      <c r="A4790" t="str">
        <f>T("   711420")</f>
        <v xml:space="preserve">   711420</v>
      </c>
      <c r="B4790" t="s">
        <v>334</v>
      </c>
      <c r="C4790">
        <v>140022</v>
      </c>
      <c r="D4790">
        <v>150</v>
      </c>
    </row>
    <row r="4791" spans="1:4" x14ac:dyDescent="0.25">
      <c r="A4791" t="str">
        <f>T("   711590")</f>
        <v xml:space="preserve">   711590</v>
      </c>
      <c r="B4791" t="str">
        <f>T("   Ouvrages en métaux précieux ou en plaqués ou doublés de métaux précieux, n.d.a.")</f>
        <v xml:space="preserve">   Ouvrages en métaux précieux ou en plaqués ou doublés de métaux précieux, n.d.a.</v>
      </c>
      <c r="C4791">
        <v>62972</v>
      </c>
      <c r="D4791">
        <v>5</v>
      </c>
    </row>
    <row r="4792" spans="1:4" x14ac:dyDescent="0.25">
      <c r="A4792" t="str">
        <f>T("   711719")</f>
        <v xml:space="preserve">   711719</v>
      </c>
      <c r="B4792" t="str">
        <f>T("   Bijouterie de fantaisie en métaux communs, même argentés, dorés ou platinés (à l'excl. des boutons de manchettes et des boutons simil.)")</f>
        <v xml:space="preserve">   Bijouterie de fantaisie en métaux communs, même argentés, dorés ou platinés (à l'excl. des boutons de manchettes et des boutons simil.)</v>
      </c>
      <c r="C4792">
        <v>200000</v>
      </c>
      <c r="D4792">
        <v>100</v>
      </c>
    </row>
    <row r="4793" spans="1:4" x14ac:dyDescent="0.25">
      <c r="A4793" t="str">
        <f>T("   711790")</f>
        <v xml:space="preserve">   711790</v>
      </c>
      <c r="B4793" t="str">
        <f>T("   Bijouterie de fantaisie (autre qu'en métaux communs, même argentés, dorés ou platinés)")</f>
        <v xml:space="preserve">   Bijouterie de fantaisie (autre qu'en métaux communs, même argentés, dorés ou platinés)</v>
      </c>
      <c r="C4793">
        <v>58712384</v>
      </c>
      <c r="D4793">
        <v>18951</v>
      </c>
    </row>
    <row r="4794" spans="1:4" x14ac:dyDescent="0.25">
      <c r="A4794" t="str">
        <f>T("   720836")</f>
        <v xml:space="preserve">   720836</v>
      </c>
      <c r="B4794" t="str">
        <f>T("   PRODUITS LAMINÉS PLATS, EN FER OU EN ACIERS NON ALLIÉS, D'UNE LARGEUR &gt;= 600 MM, ENROULÉS, SIMPLEMENT LAMINÉS À CHAUD, NON PLAQUÉS NI REVÊTUS, ÉPAISSEUR &gt; 10 MM (SANS MOTIFS EN RELIEF, ET AUTRES QUE DÉCAPÉS)")</f>
        <v xml:space="preserve">   PRODUITS LAMINÉS PLATS, EN FER OU EN ACIERS NON ALLIÉS, D'UNE LARGEUR &gt;= 600 MM, ENROULÉS, SIMPLEMENT LAMINÉS À CHAUD, NON PLAQUÉS NI REVÊTUS, ÉPAISSEUR &gt; 10 MM (SANS MOTIFS EN RELIEF, ET AUTRES QUE DÉCAPÉS)</v>
      </c>
      <c r="C4794">
        <v>1483126</v>
      </c>
      <c r="D4794">
        <v>1440</v>
      </c>
    </row>
    <row r="4795" spans="1:4" x14ac:dyDescent="0.25">
      <c r="A4795" t="str">
        <f>T("   720839")</f>
        <v xml:space="preserve">   720839</v>
      </c>
      <c r="B4795" t="str">
        <f>T("   PRODUITS LAMINÉS PLATS, EN FER OU EN ACIERS NON ALLIÉS, D'UNE LARGEUR &gt;= 600 MM, ENROULÉS, SIMPLEMENT LAMINÉS À CHAUD, NON PLAQUÉS NI REVÊTUS, ÉPAISSEUR &lt; 3 MM (SANS MOTIFS EN RELIEF, ET AUTRES QUE DÉCAPÉS)")</f>
        <v xml:space="preserve">   PRODUITS LAMINÉS PLATS, EN FER OU EN ACIERS NON ALLIÉS, D'UNE LARGEUR &gt;= 600 MM, ENROULÉS, SIMPLEMENT LAMINÉS À CHAUD, NON PLAQUÉS NI REVÊTUS, ÉPAISSEUR &lt; 3 MM (SANS MOTIFS EN RELIEF, ET AUTRES QUE DÉCAPÉS)</v>
      </c>
      <c r="C4795">
        <v>597370309</v>
      </c>
      <c r="D4795">
        <v>1468010</v>
      </c>
    </row>
    <row r="4796" spans="1:4" x14ac:dyDescent="0.25">
      <c r="A4796" t="str">
        <f>T("   720890")</f>
        <v xml:space="preserve">   720890</v>
      </c>
      <c r="B4796" t="str">
        <f>T("   PRODUITS LAMINÉS PLATS, EN FER OU EN ACIER, D'UNE LARGEUR &gt;= 600 MM, LAMINÉS À CHAUD ET AYANT SUBI CERTAINES OUVRAISONS PLUS POUSSÉES, MAIS NON-PLAQUÉS NI REVÊTUS")</f>
        <v xml:space="preserve">   PRODUITS LAMINÉS PLATS, EN FER OU EN ACIER, D'UNE LARGEUR &gt;= 600 MM, LAMINÉS À CHAUD ET AYANT SUBI CERTAINES OUVRAISONS PLUS POUSSÉES, MAIS NON-PLAQUÉS NI REVÊTUS</v>
      </c>
      <c r="C4796">
        <v>2495928</v>
      </c>
      <c r="D4796">
        <v>1744</v>
      </c>
    </row>
    <row r="4797" spans="1:4" x14ac:dyDescent="0.25">
      <c r="A4797" t="str">
        <f>T("   720917")</f>
        <v xml:space="preserve">   720917</v>
      </c>
      <c r="B4797" t="str">
        <f>T("   PRODUITS LAMINÉS PLATS, EN FER OU EN ACIERS NON-ALLIÉS, D'UNE LARGEUR &gt;= 600 MM, NON-PLAQUÉS NI REVÊTUS, ENROULÉS, SIMPL. LAMINÉS À FROID, D'UNE ÉPAISSEUR &gt;= 0,5 MM MAIS &lt;= 1 MM")</f>
        <v xml:space="preserve">   PRODUITS LAMINÉS PLATS, EN FER OU EN ACIERS NON-ALLIÉS, D'UNE LARGEUR &gt;= 600 MM, NON-PLAQUÉS NI REVÊTUS, ENROULÉS, SIMPL. LAMINÉS À FROID, D'UNE ÉPAISSEUR &gt;= 0,5 MM MAIS &lt;= 1 MM</v>
      </c>
      <c r="C4797">
        <v>4544642</v>
      </c>
      <c r="D4797">
        <v>200</v>
      </c>
    </row>
    <row r="4798" spans="1:4" x14ac:dyDescent="0.25">
      <c r="A4798" t="str">
        <f>T("   720990")</f>
        <v xml:space="preserve">   720990</v>
      </c>
      <c r="B4798" t="str">
        <f>T("   PRODUITS LAMINÉS PLATS, EN FER OU EN ACIER, D'UNE LARGEUR &gt;= 600 MM, LAMINÉS À FROID ET AYANT SUBI CERTAINES OUVRAISONS PLUS POUSSÉES, MAIS NON-PLAQUÉS NI REVÊTUS")</f>
        <v xml:space="preserve">   PRODUITS LAMINÉS PLATS, EN FER OU EN ACIER, D'UNE LARGEUR &gt;= 600 MM, LAMINÉS À FROID ET AYANT SUBI CERTAINES OUVRAISONS PLUS POUSSÉES, MAIS NON-PLAQUÉS NI REVÊTUS</v>
      </c>
      <c r="C4798">
        <v>3840645</v>
      </c>
      <c r="D4798">
        <v>5884</v>
      </c>
    </row>
    <row r="4799" spans="1:4" x14ac:dyDescent="0.25">
      <c r="A4799" t="str">
        <f>T("   721041")</f>
        <v xml:space="preserve">   721041</v>
      </c>
      <c r="B4799" t="str">
        <f>T("   Produits laminés plats, en fer ou en aciers non alliés, d'une largeur &gt;= 600 mm, laminés à chaud ou à froid, zingués, ondulés (à l'excl. des produits zingués électrolytiquement)")</f>
        <v xml:space="preserve">   Produits laminés plats, en fer ou en aciers non alliés, d'une largeur &gt;= 600 mm, laminés à chaud ou à froid, zingués, ondulés (à l'excl. des produits zingués électrolytiquement)</v>
      </c>
      <c r="C4799">
        <v>52368983</v>
      </c>
      <c r="D4799">
        <v>205465</v>
      </c>
    </row>
    <row r="4800" spans="1:4" x14ac:dyDescent="0.25">
      <c r="A4800" t="str">
        <f>T("   721090")</f>
        <v xml:space="preserve">   721090</v>
      </c>
      <c r="B4800" t="s">
        <v>337</v>
      </c>
      <c r="C4800">
        <v>1229925</v>
      </c>
      <c r="D4800">
        <v>1309</v>
      </c>
    </row>
    <row r="4801" spans="1:4" x14ac:dyDescent="0.25">
      <c r="A4801" t="str">
        <f>T("   721391")</f>
        <v xml:space="preserve">   721391</v>
      </c>
      <c r="B4801" t="str">
        <f>T("   FIL MACHINE EN FER OU ACIERS NON-ALLIÉS, ENROULÉ EN COURONNES IRRÉGULIÈRES, DE SECTION CIRCULAIRE DE DIAMÈTRE &lt; 14 MM (AUTRE QU'EN ACIERS DE DÉCOLLETAGE ET AUTRE QUE FIL MACHINE AVEC INDENTATIONS, BOURRELETS, CREUX OU RELIEFS OBTENUS LORS DU LAMINAGE)")</f>
        <v xml:space="preserve">   FIL MACHINE EN FER OU ACIERS NON-ALLIÉS, ENROULÉ EN COURONNES IRRÉGULIÈRES, DE SECTION CIRCULAIRE DE DIAMÈTRE &lt; 14 MM (AUTRE QU'EN ACIERS DE DÉCOLLETAGE ET AUTRE QUE FIL MACHINE AVEC INDENTATIONS, BOURRELETS, CREUX OU RELIEFS OBTENUS LORS DU LAMINAGE)</v>
      </c>
      <c r="C4801">
        <v>988793459</v>
      </c>
      <c r="D4801">
        <v>2336696</v>
      </c>
    </row>
    <row r="4802" spans="1:4" x14ac:dyDescent="0.25">
      <c r="A4802" t="str">
        <f>T("   721410")</f>
        <v xml:space="preserve">   721410</v>
      </c>
      <c r="B4802" t="str">
        <f>T("   Barres, en fer ou en aciers non alliés, simplement forgées")</f>
        <v xml:space="preserve">   Barres, en fer ou en aciers non alliés, simplement forgées</v>
      </c>
      <c r="C4802">
        <v>33454</v>
      </c>
      <c r="D4802">
        <v>20</v>
      </c>
    </row>
    <row r="4803" spans="1:4" x14ac:dyDescent="0.25">
      <c r="A4803" t="str">
        <f>T("   721420")</f>
        <v xml:space="preserve">   721420</v>
      </c>
      <c r="B4803" t="str">
        <f>T("   BARRES EN FER OU EN ACIERS NON ALLIÉS, COMPORTANT DES INDENTATIONS, BOURRELETS, CREUX OU RELIEFS OBTENUS AU COURS DU LAMINAGE OU AYANT SUBI UNE TORSION APRÈS LAMINAGE")</f>
        <v xml:space="preserve">   BARRES EN FER OU EN ACIERS NON ALLIÉS, COMPORTANT DES INDENTATIONS, BOURRELETS, CREUX OU RELIEFS OBTENUS AU COURS DU LAMINAGE OU AYANT SUBI UNE TORSION APRÈS LAMINAGE</v>
      </c>
      <c r="C4803">
        <v>57410931</v>
      </c>
      <c r="D4803">
        <v>122890</v>
      </c>
    </row>
    <row r="4804" spans="1:4" x14ac:dyDescent="0.25">
      <c r="A4804" t="str">
        <f>T("   721499")</f>
        <v xml:space="preserve">   721499</v>
      </c>
      <c r="B4804" t="s">
        <v>341</v>
      </c>
      <c r="C4804">
        <v>5046956</v>
      </c>
      <c r="D4804">
        <v>1182</v>
      </c>
    </row>
    <row r="4805" spans="1:4" x14ac:dyDescent="0.25">
      <c r="A4805" t="str">
        <f>T("   721590")</f>
        <v xml:space="preserve">   721590</v>
      </c>
      <c r="B4805" t="str">
        <f>T("   Barres en fer ou en aciers non alliés, obtenues ou parachevées à froid et ayant subi certaines ouvraisons plus poussées ou obtenues à chaud et ayant subi certaines ouvraisons plus poussées, n.d.a.")</f>
        <v xml:space="preserve">   Barres en fer ou en aciers non alliés, obtenues ou parachevées à froid et ayant subi certaines ouvraisons plus poussées ou obtenues à chaud et ayant subi certaines ouvraisons plus poussées, n.d.a.</v>
      </c>
      <c r="C4805">
        <v>987428</v>
      </c>
      <c r="D4805">
        <v>138</v>
      </c>
    </row>
    <row r="4806" spans="1:4" x14ac:dyDescent="0.25">
      <c r="A4806" t="str">
        <f>T("   721621")</f>
        <v xml:space="preserve">   721621</v>
      </c>
      <c r="B4806" t="str">
        <f>T("   PROFILÉS EN L EN FER OU ACIERS NON ALLIÉS, SIMPLEMENT LAMINÉS OU FILÉS À CHAUD, HAUTEUR &lt; 80 MM")</f>
        <v xml:space="preserve">   PROFILÉS EN L EN FER OU ACIERS NON ALLIÉS, SIMPLEMENT LAMINÉS OU FILÉS À CHAUD, HAUTEUR &lt; 80 MM</v>
      </c>
      <c r="C4806">
        <v>53857582</v>
      </c>
      <c r="D4806">
        <v>140000</v>
      </c>
    </row>
    <row r="4807" spans="1:4" x14ac:dyDescent="0.25">
      <c r="A4807" t="str">
        <f>T("   721631")</f>
        <v xml:space="preserve">   721631</v>
      </c>
      <c r="B4807" t="str">
        <f>T("   PROFILÉS EN U, EN FER OU EN ACIERS NON-ALLIÉS, SIMPL. LAMINÉS OU FILÉS À CHAUD, D'UNE HAUTEUR &gt;= 80 MM")</f>
        <v xml:space="preserve">   PROFILÉS EN U, EN FER OU EN ACIERS NON-ALLIÉS, SIMPL. LAMINÉS OU FILÉS À CHAUD, D'UNE HAUTEUR &gt;= 80 MM</v>
      </c>
      <c r="C4807">
        <v>625130</v>
      </c>
      <c r="D4807">
        <v>1060</v>
      </c>
    </row>
    <row r="4808" spans="1:4" x14ac:dyDescent="0.25">
      <c r="A4808" t="str">
        <f>T("   721669")</f>
        <v xml:space="preserve">   721669</v>
      </c>
      <c r="B4808" t="str">
        <f>T("   Profilés en fer ou en aciers non alliés, simplement obtenus ou parachevés à froid (à l'excl. des profilés obtenus à partir de produits laminés plats et des tôles nervurées)")</f>
        <v xml:space="preserve">   Profilés en fer ou en aciers non alliés, simplement obtenus ou parachevés à froid (à l'excl. des profilés obtenus à partir de produits laminés plats et des tôles nervurées)</v>
      </c>
      <c r="C4808">
        <v>117417</v>
      </c>
      <c r="D4808">
        <v>199</v>
      </c>
    </row>
    <row r="4809" spans="1:4" x14ac:dyDescent="0.25">
      <c r="A4809" t="str">
        <f>T("   721691")</f>
        <v xml:space="preserve">   721691</v>
      </c>
      <c r="B4809" t="str">
        <f>T("   PROFILÉS EN FER OU ACIERS NON-ALLIÉS, OBTENUS OU PARACHEVÉS À FROID À PARTIR DE PRODUITS LAMINÉS PLATS ET AYANT SUBI CERTAINES OUVRAISONS PLUS POUSSÉES")</f>
        <v xml:space="preserve">   PROFILÉS EN FER OU ACIERS NON-ALLIÉS, OBTENUS OU PARACHEVÉS À FROID À PARTIR DE PRODUITS LAMINÉS PLATS ET AYANT SUBI CERTAINES OUVRAISONS PLUS POUSSÉES</v>
      </c>
      <c r="C4809">
        <v>32957379</v>
      </c>
      <c r="D4809">
        <v>33398</v>
      </c>
    </row>
    <row r="4810" spans="1:4" x14ac:dyDescent="0.25">
      <c r="A4810" t="str">
        <f>T("   721990")</f>
        <v xml:space="preserve">   721990</v>
      </c>
      <c r="B4810" t="str">
        <f>T("   Produits laminés plats, en aciers inoxydables, d'une largeur &gt;= 600 mm, laminés à chaud ou à froid et ayant subi certaines ouvraisons plus poussées")</f>
        <v xml:space="preserve">   Produits laminés plats, en aciers inoxydables, d'une largeur &gt;= 600 mm, laminés à chaud ou à froid et ayant subi certaines ouvraisons plus poussées</v>
      </c>
      <c r="C4810">
        <v>1016083</v>
      </c>
      <c r="D4810">
        <v>273</v>
      </c>
    </row>
    <row r="4811" spans="1:4" x14ac:dyDescent="0.25">
      <c r="A4811" t="str">
        <f>T("   722300")</f>
        <v xml:space="preserve">   722300</v>
      </c>
      <c r="B4811" t="str">
        <f>T("   Fils en aciers inoxydables, en couronnes ou rouleaux (autres que fil machine)")</f>
        <v xml:space="preserve">   Fils en aciers inoxydables, en couronnes ou rouleaux (autres que fil machine)</v>
      </c>
      <c r="C4811">
        <v>1479840</v>
      </c>
      <c r="D4811">
        <v>6675</v>
      </c>
    </row>
    <row r="4812" spans="1:4" x14ac:dyDescent="0.25">
      <c r="A4812" t="str">
        <f>T("   722540")</f>
        <v xml:space="preserve">   722540</v>
      </c>
      <c r="B4812" t="str">
        <f>T("   PRODUITS LAMINÉS PLATS EN ACIERS ALLIÉS AUTRES QU'ACIERS INOXYDABLES, D'UNE LARGEUR &gt;= 600 MM, SIMPL. LAMINÉS À CHAUD, NON-ENROULÉS (SAUF ACIERS AU SILICIUM DITS -MAGNÉTIQUES-)")</f>
        <v xml:space="preserve">   PRODUITS LAMINÉS PLATS EN ACIERS ALLIÉS AUTRES QU'ACIERS INOXYDABLES, D'UNE LARGEUR &gt;= 600 MM, SIMPL. LAMINÉS À CHAUD, NON-ENROULÉS (SAUF ACIERS AU SILICIUM DITS -MAGNÉTIQUES-)</v>
      </c>
      <c r="C4812">
        <v>5914791</v>
      </c>
      <c r="D4812">
        <v>2375</v>
      </c>
    </row>
    <row r="4813" spans="1:4" x14ac:dyDescent="0.25">
      <c r="A4813" t="str">
        <f>T("   722550")</f>
        <v xml:space="preserve">   722550</v>
      </c>
      <c r="B4813" t="str">
        <f>T("   PRODUITS LAMINÉS PLATS EN ACIERS ALLIÉS AUTRES QU'ACIERS INOXYDABLES, D'UNE LARGEUR &gt;= 600 MM, SIMPL. LAMINÉS À FROID (SAUF ACIERS AU SILICIUM DITS -MAGNÉTIQUES-)")</f>
        <v xml:space="preserve">   PRODUITS LAMINÉS PLATS EN ACIERS ALLIÉS AUTRES QU'ACIERS INOXYDABLES, D'UNE LARGEUR &gt;= 600 MM, SIMPL. LAMINÉS À FROID (SAUF ACIERS AU SILICIUM DITS -MAGNÉTIQUES-)</v>
      </c>
      <c r="C4813">
        <v>498228</v>
      </c>
      <c r="D4813">
        <v>20</v>
      </c>
    </row>
    <row r="4814" spans="1:4" x14ac:dyDescent="0.25">
      <c r="A4814" t="str">
        <f>T("   722810")</f>
        <v xml:space="preserve">   722810</v>
      </c>
      <c r="B4814" t="str">
        <f>T("   Barres en aciers à coupe rapide")</f>
        <v xml:space="preserve">   Barres en aciers à coupe rapide</v>
      </c>
      <c r="C4814">
        <v>3170101</v>
      </c>
      <c r="D4814">
        <v>2876</v>
      </c>
    </row>
    <row r="4815" spans="1:4" x14ac:dyDescent="0.25">
      <c r="A4815" t="str">
        <f>T("   722830")</f>
        <v xml:space="preserve">   722830</v>
      </c>
      <c r="B4815" t="str">
        <f>T("   BARRES EN ACIERS ALLIÉS AUTRES QU'ACIERS INOXYDABLES, SIMPL. LAMINÉES OU FILÉES À CHAUD (SAUF EN ACIERS À COUPE RAPIDE OU SILICOMANGANEUX)")</f>
        <v xml:space="preserve">   BARRES EN ACIERS ALLIÉS AUTRES QU'ACIERS INOXYDABLES, SIMPL. LAMINÉES OU FILÉES À CHAUD (SAUF EN ACIERS À COUPE RAPIDE OU SILICOMANGANEUX)</v>
      </c>
      <c r="C4815">
        <v>1884580</v>
      </c>
      <c r="D4815">
        <v>481</v>
      </c>
    </row>
    <row r="4816" spans="1:4" x14ac:dyDescent="0.25">
      <c r="A4816" t="str">
        <f>T("   722860")</f>
        <v xml:space="preserve">   722860</v>
      </c>
      <c r="B4816" t="str">
        <f>T("   Barres en aciers alliés autres qu'aciers inoxydables, obtenues ou parachevées à froid et autrement traitées, ou obtenues à chaud et autrement traitées n.d.a. (sauf en aciers à coupe rapide ou aciers silicomanganeux)")</f>
        <v xml:space="preserve">   Barres en aciers alliés autres qu'aciers inoxydables, obtenues ou parachevées à froid et autrement traitées, ou obtenues à chaud et autrement traitées n.d.a. (sauf en aciers à coupe rapide ou aciers silicomanganeux)</v>
      </c>
      <c r="C4816">
        <v>516240</v>
      </c>
      <c r="D4816">
        <v>145</v>
      </c>
    </row>
    <row r="4817" spans="1:4" x14ac:dyDescent="0.25">
      <c r="A4817" t="str">
        <f>T("   722870")</f>
        <v xml:space="preserve">   722870</v>
      </c>
      <c r="B4817" t="str">
        <f>T("   Profilés en aciers alliés autres qu'aciers inoxydables n.d.a.")</f>
        <v xml:space="preserve">   Profilés en aciers alliés autres qu'aciers inoxydables n.d.a.</v>
      </c>
      <c r="C4817">
        <v>29518200</v>
      </c>
      <c r="D4817">
        <v>35204</v>
      </c>
    </row>
    <row r="4818" spans="1:4" x14ac:dyDescent="0.25">
      <c r="A4818" t="str">
        <f>T("   730120")</f>
        <v xml:space="preserve">   730120</v>
      </c>
      <c r="B4818" t="str">
        <f>T("   Profilés en fer ou en acier, obtenus par soudage")</f>
        <v xml:space="preserve">   Profilés en fer ou en acier, obtenus par soudage</v>
      </c>
      <c r="C4818">
        <v>17700815</v>
      </c>
      <c r="D4818">
        <v>5365</v>
      </c>
    </row>
    <row r="4819" spans="1:4" x14ac:dyDescent="0.25">
      <c r="A4819" t="str">
        <f>T("   730210")</f>
        <v xml:space="preserve">   730210</v>
      </c>
      <c r="B4819" t="str">
        <f>T("   Rails en fonte, fer ou acier pour voies ferrées ( à l'excl. des contre-rails)")</f>
        <v xml:space="preserve">   Rails en fonte, fer ou acier pour voies ferrées ( à l'excl. des contre-rails)</v>
      </c>
      <c r="C4819">
        <v>869147</v>
      </c>
      <c r="D4819">
        <v>391</v>
      </c>
    </row>
    <row r="4820" spans="1:4" x14ac:dyDescent="0.25">
      <c r="A4820" t="str">
        <f>T("   730230")</f>
        <v xml:space="preserve">   730230</v>
      </c>
      <c r="B4820" t="str">
        <f>T("   Aiguilles, pointes de coeur, tringles d'aiguillage et autres éléments de croisement ou de changement de voies, en fonte, fer ou acier")</f>
        <v xml:space="preserve">   Aiguilles, pointes de coeur, tringles d'aiguillage et autres éléments de croisement ou de changement de voies, en fonte, fer ou acier</v>
      </c>
      <c r="C4820">
        <v>13119200</v>
      </c>
      <c r="D4820">
        <v>15000</v>
      </c>
    </row>
    <row r="4821" spans="1:4" x14ac:dyDescent="0.25">
      <c r="A4821" t="str">
        <f>T("   730300")</f>
        <v xml:space="preserve">   730300</v>
      </c>
      <c r="B4821" t="str">
        <f>T("   Tubes, tuyaux et profilés creux, en fonte")</f>
        <v xml:space="preserve">   Tubes, tuyaux et profilés creux, en fonte</v>
      </c>
      <c r="C4821">
        <v>150000</v>
      </c>
      <c r="D4821">
        <v>200</v>
      </c>
    </row>
    <row r="4822" spans="1:4" x14ac:dyDescent="0.25">
      <c r="A4822" t="str">
        <f>T("   730410")</f>
        <v xml:space="preserve">   730410</v>
      </c>
      <c r="B4822" t="str">
        <f>T("   Tubes et tuyaux sans soudure, en fer (à l'excl. de la fonte) ou en acier, des types utilisés pour oléoducs ou gazoducs")</f>
        <v xml:space="preserve">   Tubes et tuyaux sans soudure, en fer (à l'excl. de la fonte) ou en acier, des types utilisés pour oléoducs ou gazoducs</v>
      </c>
      <c r="C4822">
        <v>5116488</v>
      </c>
      <c r="D4822">
        <v>6735</v>
      </c>
    </row>
    <row r="4823" spans="1:4" x14ac:dyDescent="0.25">
      <c r="A4823" t="str">
        <f>T("   730439")</f>
        <v xml:space="preserve">   730439</v>
      </c>
      <c r="B4823" t="s">
        <v>344</v>
      </c>
      <c r="C4823">
        <v>11137958</v>
      </c>
      <c r="D4823">
        <v>52245</v>
      </c>
    </row>
    <row r="4824" spans="1:4" x14ac:dyDescent="0.25">
      <c r="A4824" t="str">
        <f>T("   730640")</f>
        <v xml:space="preserve">   730640</v>
      </c>
      <c r="B4824" t="s">
        <v>346</v>
      </c>
      <c r="C4824">
        <v>20384220</v>
      </c>
      <c r="D4824">
        <v>6189</v>
      </c>
    </row>
    <row r="4825" spans="1:4" x14ac:dyDescent="0.25">
      <c r="A4825" t="str">
        <f>T("   730690")</f>
        <v xml:space="preserve">   730690</v>
      </c>
      <c r="B4825" t="str">
        <f>T("   Tubes, tuyaux et profilés creux [p.ex. rivés, agrafés ou à bords simplement rapprochés], en fer ou en acier (sauf tubes sans soudure ou soudés et tubes de sections intérieure et extérieure circulaires et d'un diamètre extérieur &gt; 406,4 mm)")</f>
        <v xml:space="preserve">   Tubes, tuyaux et profilés creux [p.ex. rivés, agrafés ou à bords simplement rapprochés], en fer ou en acier (sauf tubes sans soudure ou soudés et tubes de sections intérieure et extérieure circulaires et d'un diamètre extérieur &gt; 406,4 mm)</v>
      </c>
      <c r="C4825">
        <v>4643109</v>
      </c>
      <c r="D4825">
        <v>1377</v>
      </c>
    </row>
    <row r="4826" spans="1:4" x14ac:dyDescent="0.25">
      <c r="A4826" t="str">
        <f>T("   730711")</f>
        <v xml:space="preserve">   730711</v>
      </c>
      <c r="B4826" t="str">
        <f>T("   ACCESSOIRES DE TUYAUTERIE MOULÉS EN FONTE NON-MALLÉABLE")</f>
        <v xml:space="preserve">   ACCESSOIRES DE TUYAUTERIE MOULÉS EN FONTE NON-MALLÉABLE</v>
      </c>
      <c r="C4826">
        <v>10524944</v>
      </c>
      <c r="D4826">
        <v>1926</v>
      </c>
    </row>
    <row r="4827" spans="1:4" x14ac:dyDescent="0.25">
      <c r="A4827" t="str">
        <f>T("   730719")</f>
        <v xml:space="preserve">   730719</v>
      </c>
      <c r="B4827" t="str">
        <f>T("   Accessoires de tuyauterie moulés en fonte, fer ou acier (sauf fonte non-malléable)")</f>
        <v xml:space="preserve">   Accessoires de tuyauterie moulés en fonte, fer ou acier (sauf fonte non-malléable)</v>
      </c>
      <c r="C4827">
        <v>22200189</v>
      </c>
      <c r="D4827">
        <v>3559.1</v>
      </c>
    </row>
    <row r="4828" spans="1:4" x14ac:dyDescent="0.25">
      <c r="A4828" t="str">
        <f>T("   730721")</f>
        <v xml:space="preserve">   730721</v>
      </c>
      <c r="B4828" t="str">
        <f>T("   Brides en aciers inoxydables (non moulés)")</f>
        <v xml:space="preserve">   Brides en aciers inoxydables (non moulés)</v>
      </c>
      <c r="C4828">
        <v>5555981</v>
      </c>
      <c r="D4828">
        <v>2641</v>
      </c>
    </row>
    <row r="4829" spans="1:4" x14ac:dyDescent="0.25">
      <c r="A4829" t="str">
        <f>T("   730729")</f>
        <v xml:space="preserve">   730729</v>
      </c>
      <c r="B4829" t="str">
        <f>T("   ACCESSOIRES DE TUYAUTERIE, EN ACIERS INOXYDABLES (NON-MOULÉS ET SAUF BRIDES; COUDES, COURBES ET MANCHONS FILETÉS; ACCESSOIRES À SOUDER BOUT À BOUT)")</f>
        <v xml:space="preserve">   ACCESSOIRES DE TUYAUTERIE, EN ACIERS INOXYDABLES (NON-MOULÉS ET SAUF BRIDES; COUDES, COURBES ET MANCHONS FILETÉS; ACCESSOIRES À SOUDER BOUT À BOUT)</v>
      </c>
      <c r="C4829">
        <v>2707128</v>
      </c>
      <c r="D4829">
        <v>74</v>
      </c>
    </row>
    <row r="4830" spans="1:4" x14ac:dyDescent="0.25">
      <c r="A4830" t="str">
        <f>T("   730791")</f>
        <v xml:space="preserve">   730791</v>
      </c>
      <c r="B4830" t="str">
        <f>T("   Brides en fer ou aciers (autres que moulés ou en acier inoxydable)")</f>
        <v xml:space="preserve">   Brides en fer ou aciers (autres que moulés ou en acier inoxydable)</v>
      </c>
      <c r="C4830">
        <v>2491336</v>
      </c>
      <c r="D4830">
        <v>449</v>
      </c>
    </row>
    <row r="4831" spans="1:4" x14ac:dyDescent="0.25">
      <c r="A4831" t="str">
        <f>T("   730792")</f>
        <v xml:space="preserve">   730792</v>
      </c>
      <c r="B4831" t="str">
        <f>T("   Coudes, courbes et manchons en fer ou en aciers, filetés (autres que moulés ou en aciers inoxydables)")</f>
        <v xml:space="preserve">   Coudes, courbes et manchons en fer ou en aciers, filetés (autres que moulés ou en aciers inoxydables)</v>
      </c>
      <c r="C4831">
        <v>1278046</v>
      </c>
      <c r="D4831">
        <v>476</v>
      </c>
    </row>
    <row r="4832" spans="1:4" x14ac:dyDescent="0.25">
      <c r="A4832" t="str">
        <f>T("   730799")</f>
        <v xml:space="preserve">   730799</v>
      </c>
      <c r="B4832" t="str">
        <f>T("   Accessoires de tuyauterie, en fer ou aciers (autres que moulés ou en aciers inoxydables; sauf brides; coudes, courbes et manchons, filetés et sauf accessoires à souder bout à bout)")</f>
        <v xml:space="preserve">   Accessoires de tuyauterie, en fer ou aciers (autres que moulés ou en aciers inoxydables; sauf brides; coudes, courbes et manchons, filetés et sauf accessoires à souder bout à bout)</v>
      </c>
      <c r="C4832">
        <v>5046303</v>
      </c>
      <c r="D4832">
        <v>249</v>
      </c>
    </row>
    <row r="4833" spans="1:4" x14ac:dyDescent="0.25">
      <c r="A4833" t="str">
        <f>T("   730820")</f>
        <v xml:space="preserve">   730820</v>
      </c>
      <c r="B4833" t="str">
        <f>T("   Tours et pylônes, en fer ou en acier")</f>
        <v xml:space="preserve">   Tours et pylônes, en fer ou en acier</v>
      </c>
      <c r="C4833">
        <v>2123343</v>
      </c>
      <c r="D4833">
        <v>155</v>
      </c>
    </row>
    <row r="4834" spans="1:4" x14ac:dyDescent="0.25">
      <c r="A4834" t="str">
        <f>T("   730830")</f>
        <v xml:space="preserve">   730830</v>
      </c>
      <c r="B4834" t="str">
        <f>T("   Portes, fenêtres et leurs cadres et chambranles ainsi que leurs seuils, en fer ou en acier")</f>
        <v xml:space="preserve">   Portes, fenêtres et leurs cadres et chambranles ainsi que leurs seuils, en fer ou en acier</v>
      </c>
      <c r="C4834">
        <v>1128920</v>
      </c>
      <c r="D4834">
        <v>4033</v>
      </c>
    </row>
    <row r="4835" spans="1:4" x14ac:dyDescent="0.25">
      <c r="A4835" t="str">
        <f>T("   730840")</f>
        <v xml:space="preserve">   730840</v>
      </c>
      <c r="B4835" t="str">
        <f>T("   Matériel d'échafaudage, de coffrage ou d'étayage, en fer ou en acier (autre que palplanches assemblées et coffrages pour béton, qui présentent les caractéristiques de moules)")</f>
        <v xml:space="preserve">   Matériel d'échafaudage, de coffrage ou d'étayage, en fer ou en acier (autre que palplanches assemblées et coffrages pour béton, qui présentent les caractéristiques de moules)</v>
      </c>
      <c r="C4835">
        <v>81878239</v>
      </c>
      <c r="D4835">
        <v>31436</v>
      </c>
    </row>
    <row r="4836" spans="1:4" x14ac:dyDescent="0.25">
      <c r="A4836" t="str">
        <f>T("   730890")</f>
        <v xml:space="preserve">   730890</v>
      </c>
      <c r="B4836" t="s">
        <v>349</v>
      </c>
      <c r="C4836">
        <v>192462908</v>
      </c>
      <c r="D4836">
        <v>122872</v>
      </c>
    </row>
    <row r="4837" spans="1:4" x14ac:dyDescent="0.25">
      <c r="A4837" t="str">
        <f>T("   730900")</f>
        <v xml:space="preserve">   730900</v>
      </c>
      <c r="B4837" t="s">
        <v>350</v>
      </c>
      <c r="C4837">
        <v>110656516</v>
      </c>
      <c r="D4837">
        <v>27818</v>
      </c>
    </row>
    <row r="4838" spans="1:4" x14ac:dyDescent="0.25">
      <c r="A4838" t="str">
        <f>T("   731010")</f>
        <v xml:space="preserve">   731010</v>
      </c>
      <c r="B4838" t="str">
        <f>T("   RÉSERVOIRS, F¹TS, TAMBOURS, BIDONS, BOÎTES ET RÉCIPIENTS SIMIL. EN FONTE, FER OU ACIER, POUR TOUTES MATIÈRES, CONTENANCE &gt;= 50 L MAIS &lt;= 300 L, N.D.A. (À L'EXCL. DES GAZ COMPRIMÉS OU LIQUÉFIÉS ET SAUF AVEC DISPOSITIFS MÉCANIQUES OU THERMIQUES)")</f>
        <v xml:space="preserve">   RÉSERVOIRS, F¹TS, TAMBOURS, BIDONS, BOÎTES ET RÉCIPIENTS SIMIL. EN FONTE, FER OU ACIER, POUR TOUTES MATIÈRES, CONTENANCE &gt;= 50 L MAIS &lt;= 300 L, N.D.A. (À L'EXCL. DES GAZ COMPRIMÉS OU LIQUÉFIÉS ET SAUF AVEC DISPOSITIFS MÉCANIQUES OU THERMIQUES)</v>
      </c>
      <c r="C4838">
        <v>14620167</v>
      </c>
      <c r="D4838">
        <v>8138</v>
      </c>
    </row>
    <row r="4839" spans="1:4" x14ac:dyDescent="0.25">
      <c r="A4839" t="str">
        <f>T("   731029")</f>
        <v xml:space="preserve">   731029</v>
      </c>
      <c r="B4839" t="str">
        <f>T("   Réservoirs, fûts, tambours, bidons et récipients simil., en fer ou en acier, pour toutes matières, contenance &lt; 50 l, n.d.a. (sauf pour gaz comprimés ou liquéfiés, sans dispositifs mécaniques ou thermiques et à l'excl. des boîtes)")</f>
        <v xml:space="preserve">   Réservoirs, fûts, tambours, bidons et récipients simil., en fer ou en acier, pour toutes matières, contenance &lt; 50 l, n.d.a. (sauf pour gaz comprimés ou liquéfiés, sans dispositifs mécaniques ou thermiques et à l'excl. des boîtes)</v>
      </c>
      <c r="C4839">
        <v>72358790</v>
      </c>
      <c r="D4839">
        <v>8686</v>
      </c>
    </row>
    <row r="4840" spans="1:4" x14ac:dyDescent="0.25">
      <c r="A4840" t="str">
        <f>T("   731100")</f>
        <v xml:space="preserve">   731100</v>
      </c>
      <c r="B4840" t="str">
        <f>T("   Récipients en fonte, fer ou acier, pour gaz comprimés ou liquéfiés (autres que conteneurs spécialement conçus ou équipés pour un ou plusieurs moyens de transport)")</f>
        <v xml:space="preserve">   Récipients en fonte, fer ou acier, pour gaz comprimés ou liquéfiés (autres que conteneurs spécialement conçus ou équipés pour un ou plusieurs moyens de transport)</v>
      </c>
      <c r="C4840">
        <v>1203031</v>
      </c>
      <c r="D4840">
        <v>91</v>
      </c>
    </row>
    <row r="4841" spans="1:4" x14ac:dyDescent="0.25">
      <c r="A4841" t="str">
        <f>T("   731210")</f>
        <v xml:space="preserve">   731210</v>
      </c>
      <c r="B4841" t="str">
        <f>T("   Torons et câbles en fer ou en acier (sauf produits isolés pour l'électricité et sauf fil barbelé pour clôtures et ronces artificielles)")</f>
        <v xml:space="preserve">   Torons et câbles en fer ou en acier (sauf produits isolés pour l'électricité et sauf fil barbelé pour clôtures et ronces artificielles)</v>
      </c>
      <c r="C4841">
        <v>5561069</v>
      </c>
      <c r="D4841">
        <v>3135</v>
      </c>
    </row>
    <row r="4842" spans="1:4" x14ac:dyDescent="0.25">
      <c r="A4842" t="str">
        <f>T("   731290")</f>
        <v xml:space="preserve">   731290</v>
      </c>
      <c r="B4842" t="str">
        <f>T("   Tresses, élingues et simil., en fer ou en acier (sauf produits isolés pour l'électricité)")</f>
        <v xml:space="preserve">   Tresses, élingues et simil., en fer ou en acier (sauf produits isolés pour l'électricité)</v>
      </c>
      <c r="C4842">
        <v>30183937</v>
      </c>
      <c r="D4842">
        <v>7998</v>
      </c>
    </row>
    <row r="4843" spans="1:4" x14ac:dyDescent="0.25">
      <c r="A4843" t="str">
        <f>T("   731414")</f>
        <v xml:space="preserve">   731414</v>
      </c>
      <c r="B4843" t="s">
        <v>351</v>
      </c>
      <c r="C4843">
        <v>474259</v>
      </c>
      <c r="D4843">
        <v>20</v>
      </c>
    </row>
    <row r="4844" spans="1:4" x14ac:dyDescent="0.25">
      <c r="A4844" t="str">
        <f>T("   731419")</f>
        <v xml:space="preserve">   731419</v>
      </c>
      <c r="B4844" t="s">
        <v>352</v>
      </c>
      <c r="C4844">
        <v>3910833</v>
      </c>
      <c r="D4844">
        <v>1750</v>
      </c>
    </row>
    <row r="4845" spans="1:4" x14ac:dyDescent="0.25">
      <c r="A4845" t="str">
        <f>T("   731420")</f>
        <v xml:space="preserve">   731420</v>
      </c>
      <c r="B4845" t="str">
        <f>T("   Grillages et treillis, soudés aux points de rencontre, d'une surface de mailles &gt;= 100 cm², en fils de fer ou d'acier, dont la plus grande dimension de la coupe transversale est &gt;= 3 mm")</f>
        <v xml:space="preserve">   Grillages et treillis, soudés aux points de rencontre, d'une surface de mailles &gt;= 100 cm², en fils de fer ou d'acier, dont la plus grande dimension de la coupe transversale est &gt;= 3 mm</v>
      </c>
      <c r="C4845">
        <v>13718419</v>
      </c>
      <c r="D4845">
        <v>7500</v>
      </c>
    </row>
    <row r="4846" spans="1:4" x14ac:dyDescent="0.25">
      <c r="A4846" t="str">
        <f>T("   731439")</f>
        <v xml:space="preserve">   731439</v>
      </c>
      <c r="B4846" t="str">
        <f>T("   Grillages et treillis, en fils de fer ou d'acier, soudés aux points de rencontre (sauf en fils dont la plus grande dimension de la coupe transversale est &gt;= 3 mm avec une surface de mailles &gt;= 100 cm² et autres que zingués)")</f>
        <v xml:space="preserve">   Grillages et treillis, en fils de fer ou d'acier, soudés aux points de rencontre (sauf en fils dont la plus grande dimension de la coupe transversale est &gt;= 3 mm avec une surface de mailles &gt;= 100 cm² et autres que zingués)</v>
      </c>
      <c r="C4846">
        <v>3124960</v>
      </c>
      <c r="D4846">
        <v>2100</v>
      </c>
    </row>
    <row r="4847" spans="1:4" x14ac:dyDescent="0.25">
      <c r="A4847" t="str">
        <f>T("   731442")</f>
        <v xml:space="preserve">   731442</v>
      </c>
      <c r="B4847" t="str">
        <f>T("   GRILLAGES ET TREILLIS, EN FILS DE FER OU D'ACIER, NON-SOUDÉS AUX POINTS DE RENCONTRE, RECOUVERTS DE MATIÈRES PLASTIQUES")</f>
        <v xml:space="preserve">   GRILLAGES ET TREILLIS, EN FILS DE FER OU D'ACIER, NON-SOUDÉS AUX POINTS DE RENCONTRE, RECOUVERTS DE MATIÈRES PLASTIQUES</v>
      </c>
      <c r="C4847">
        <v>743203</v>
      </c>
      <c r="D4847">
        <v>250</v>
      </c>
    </row>
    <row r="4848" spans="1:4" x14ac:dyDescent="0.25">
      <c r="A4848" t="str">
        <f>T("   731449")</f>
        <v xml:space="preserve">   731449</v>
      </c>
      <c r="B4848" t="str">
        <f>T("   Toiles métalliques nontissées, grillages et treillis, en fils de fer ou d'acier, non soudés aux points de rencontre (sauf zingués ou recouverts de matières plastiques)")</f>
        <v xml:space="preserve">   Toiles métalliques nontissées, grillages et treillis, en fils de fer ou d'acier, non soudés aux points de rencontre (sauf zingués ou recouverts de matières plastiques)</v>
      </c>
      <c r="C4848">
        <v>1634810</v>
      </c>
      <c r="D4848">
        <v>769</v>
      </c>
    </row>
    <row r="4849" spans="1:4" x14ac:dyDescent="0.25">
      <c r="A4849" t="str">
        <f>T("   731450")</f>
        <v xml:space="preserve">   731450</v>
      </c>
      <c r="B4849" t="str">
        <f>T("   Tôles et bandes déployées en fer ou en acier")</f>
        <v xml:space="preserve">   Tôles et bandes déployées en fer ou en acier</v>
      </c>
      <c r="C4849">
        <v>103920370</v>
      </c>
      <c r="D4849">
        <v>146201</v>
      </c>
    </row>
    <row r="4850" spans="1:4" x14ac:dyDescent="0.25">
      <c r="A4850" t="str">
        <f>T("   731511")</f>
        <v xml:space="preserve">   731511</v>
      </c>
      <c r="B4850" t="str">
        <f>T("   Chaînes à rouleaux en fonte, fer ou acier")</f>
        <v xml:space="preserve">   Chaînes à rouleaux en fonte, fer ou acier</v>
      </c>
      <c r="C4850">
        <v>95377</v>
      </c>
      <c r="D4850">
        <v>80</v>
      </c>
    </row>
    <row r="4851" spans="1:4" x14ac:dyDescent="0.25">
      <c r="A4851" t="str">
        <f>T("   731512")</f>
        <v xml:space="preserve">   731512</v>
      </c>
      <c r="B4851" t="str">
        <f>T("   Chaînes à maillons articulés en fonte, fer ou acier (autres qu'à rouleaux)")</f>
        <v xml:space="preserve">   Chaînes à maillons articulés en fonte, fer ou acier (autres qu'à rouleaux)</v>
      </c>
      <c r="C4851">
        <v>3011283</v>
      </c>
      <c r="D4851">
        <v>227</v>
      </c>
    </row>
    <row r="4852" spans="1:4" x14ac:dyDescent="0.25">
      <c r="A4852" t="str">
        <f>T("   731582")</f>
        <v xml:space="preserve">   731582</v>
      </c>
      <c r="B4852" t="str">
        <f>T("   CHAÎNES EN FONTE, FER OU ACIER, À MAILLONS SOUDÉS (SAUF CHAÎNES À MAILLONS ARTICULÉS, ANTIDÉRAPANTES ET À MAILLONS À ÉTAIS)")</f>
        <v xml:space="preserve">   CHAÎNES EN FONTE, FER OU ACIER, À MAILLONS SOUDÉS (SAUF CHAÎNES À MAILLONS ARTICULÉS, ANTIDÉRAPANTES ET À MAILLONS À ÉTAIS)</v>
      </c>
      <c r="C4852">
        <v>7564413</v>
      </c>
      <c r="D4852">
        <v>7640</v>
      </c>
    </row>
    <row r="4853" spans="1:4" x14ac:dyDescent="0.25">
      <c r="A4853" t="str">
        <f>T("   731589")</f>
        <v xml:space="preserve">   731589</v>
      </c>
      <c r="B4853" t="s">
        <v>353</v>
      </c>
      <c r="C4853">
        <v>38190640</v>
      </c>
      <c r="D4853">
        <v>5796.2</v>
      </c>
    </row>
    <row r="4854" spans="1:4" x14ac:dyDescent="0.25">
      <c r="A4854" t="str">
        <f>T("   731590")</f>
        <v xml:space="preserve">   731590</v>
      </c>
      <c r="B4854" t="str">
        <f>T("   Parties de chaînes et chaînettes antidérapantes, à maillons à étais, et autres chaînes et chaînettes du n° 7315 (sauf de chaînes à maillons articulés)")</f>
        <v xml:space="preserve">   Parties de chaînes et chaînettes antidérapantes, à maillons à étais, et autres chaînes et chaînettes du n° 7315 (sauf de chaînes à maillons articulés)</v>
      </c>
      <c r="C4854">
        <v>7358574</v>
      </c>
      <c r="D4854">
        <v>20021</v>
      </c>
    </row>
    <row r="4855" spans="1:4" x14ac:dyDescent="0.25">
      <c r="A4855" t="str">
        <f>T("   731600")</f>
        <v xml:space="preserve">   731600</v>
      </c>
      <c r="B4855" t="str">
        <f>T("   Ancres, grappins et leurs parties, en fonte, fer ou acier")</f>
        <v xml:space="preserve">   Ancres, grappins et leurs parties, en fonte, fer ou acier</v>
      </c>
      <c r="C4855">
        <v>5708857</v>
      </c>
      <c r="D4855">
        <v>6721</v>
      </c>
    </row>
    <row r="4856" spans="1:4" x14ac:dyDescent="0.25">
      <c r="A4856" t="str">
        <f>T("   731700")</f>
        <v xml:space="preserve">   731700</v>
      </c>
      <c r="B4856" t="str">
        <f>T("   Pointes, clous, punaises, crampons appointés, agrafes ondulées ou biseautées et articles simil., en fonte, fer ou acier, même avec tête en autre matière (à l'excl. de ceux avec tête en cuivre et à l'excl. des agrafes en barrettes)")</f>
        <v xml:space="preserve">   Pointes, clous, punaises, crampons appointés, agrafes ondulées ou biseautées et articles simil., en fonte, fer ou acier, même avec tête en autre matière (à l'excl. de ceux avec tête en cuivre et à l'excl. des agrafes en barrettes)</v>
      </c>
      <c r="C4856">
        <v>1336924</v>
      </c>
      <c r="D4856">
        <v>2855</v>
      </c>
    </row>
    <row r="4857" spans="1:4" x14ac:dyDescent="0.25">
      <c r="A4857" t="str">
        <f>T("   731811")</f>
        <v xml:space="preserve">   731811</v>
      </c>
      <c r="B4857" t="str">
        <f>T("   Tire-fond en fonte, fer ou acier")</f>
        <v xml:space="preserve">   Tire-fond en fonte, fer ou acier</v>
      </c>
      <c r="C4857">
        <v>1031176</v>
      </c>
      <c r="D4857">
        <v>5351</v>
      </c>
    </row>
    <row r="4858" spans="1:4" x14ac:dyDescent="0.25">
      <c r="A4858" t="str">
        <f>T("   731812")</f>
        <v xml:space="preserve">   731812</v>
      </c>
      <c r="B4858" t="str">
        <f>T("   Vis à bois en fonte, fer ou acier (autres que tire-fond)")</f>
        <v xml:space="preserve">   Vis à bois en fonte, fer ou acier (autres que tire-fond)</v>
      </c>
      <c r="C4858">
        <v>701503</v>
      </c>
      <c r="D4858">
        <v>2126</v>
      </c>
    </row>
    <row r="4859" spans="1:4" x14ac:dyDescent="0.25">
      <c r="A4859" t="str">
        <f>T("   731813")</f>
        <v xml:space="preserve">   731813</v>
      </c>
      <c r="B4859" t="str">
        <f>T("   Crochets et pitons à pas de vis en fonte, fer ou acier")</f>
        <v xml:space="preserve">   Crochets et pitons à pas de vis en fonte, fer ou acier</v>
      </c>
      <c r="C4859">
        <v>150215</v>
      </c>
      <c r="D4859">
        <v>39</v>
      </c>
    </row>
    <row r="4860" spans="1:4" x14ac:dyDescent="0.25">
      <c r="A4860" t="str">
        <f>T("   731815")</f>
        <v xml:space="preserve">   731815</v>
      </c>
      <c r="B4860" t="s">
        <v>354</v>
      </c>
      <c r="C4860">
        <v>81153875</v>
      </c>
      <c r="D4860">
        <v>18335.5</v>
      </c>
    </row>
    <row r="4861" spans="1:4" x14ac:dyDescent="0.25">
      <c r="A4861" t="str">
        <f>T("   731816")</f>
        <v xml:space="preserve">   731816</v>
      </c>
      <c r="B4861" t="str">
        <f>T("   ÉCROUS EN FONTE, FER OU ACIER")</f>
        <v xml:space="preserve">   ÉCROUS EN FONTE, FER OU ACIER</v>
      </c>
      <c r="C4861">
        <v>26352374</v>
      </c>
      <c r="D4861">
        <v>1469</v>
      </c>
    </row>
    <row r="4862" spans="1:4" x14ac:dyDescent="0.25">
      <c r="A4862" t="str">
        <f>T("   731819")</f>
        <v xml:space="preserve">   731819</v>
      </c>
      <c r="B4862" t="str">
        <f>T("   Articles de boulonnerie et de visserie, filetés, en fonte, fer ou acier, n.d.a.")</f>
        <v xml:space="preserve">   Articles de boulonnerie et de visserie, filetés, en fonte, fer ou acier, n.d.a.</v>
      </c>
      <c r="C4862">
        <v>17793410</v>
      </c>
      <c r="D4862">
        <v>2011</v>
      </c>
    </row>
    <row r="4863" spans="1:4" x14ac:dyDescent="0.25">
      <c r="A4863" t="str">
        <f>T("   731821")</f>
        <v xml:space="preserve">   731821</v>
      </c>
      <c r="B4863" t="str">
        <f>T("   Rondelles destinées à faire ressort et autres rondelles de blocage, en fonte, fer ou acier")</f>
        <v xml:space="preserve">   Rondelles destinées à faire ressort et autres rondelles de blocage, en fonte, fer ou acier</v>
      </c>
      <c r="C4863">
        <v>1203030</v>
      </c>
      <c r="D4863">
        <v>46</v>
      </c>
    </row>
    <row r="4864" spans="1:4" x14ac:dyDescent="0.25">
      <c r="A4864" t="str">
        <f>T("   731822")</f>
        <v xml:space="preserve">   731822</v>
      </c>
      <c r="B4864" t="str">
        <f>T("   Rondelles en fonte, fer ou acier (sauf rondelles destinées à faire ressort et autres rondelles de blocage)")</f>
        <v xml:space="preserve">   Rondelles en fonte, fer ou acier (sauf rondelles destinées à faire ressort et autres rondelles de blocage)</v>
      </c>
      <c r="C4864">
        <v>6743639</v>
      </c>
      <c r="D4864">
        <v>414.3</v>
      </c>
    </row>
    <row r="4865" spans="1:4" x14ac:dyDescent="0.25">
      <c r="A4865" t="str">
        <f>T("   731824")</f>
        <v xml:space="preserve">   731824</v>
      </c>
      <c r="B4865" t="str">
        <f>T("   Goupilles, chevilles et clavettes en fonte, fer ou acier")</f>
        <v xml:space="preserve">   Goupilles, chevilles et clavettes en fonte, fer ou acier</v>
      </c>
      <c r="C4865">
        <v>20570001</v>
      </c>
      <c r="D4865">
        <v>1069</v>
      </c>
    </row>
    <row r="4866" spans="1:4" x14ac:dyDescent="0.25">
      <c r="A4866" t="str">
        <f>T("   731829")</f>
        <v xml:space="preserve">   731829</v>
      </c>
      <c r="B4866" t="str">
        <f>T("   Articles de boulonnerie et de visserie non filetés, en fonte, fer ou acier, n.d.a.")</f>
        <v xml:space="preserve">   Articles de boulonnerie et de visserie non filetés, en fonte, fer ou acier, n.d.a.</v>
      </c>
      <c r="C4866">
        <v>2637752</v>
      </c>
      <c r="D4866">
        <v>396</v>
      </c>
    </row>
    <row r="4867" spans="1:4" x14ac:dyDescent="0.25">
      <c r="A4867" t="str">
        <f>T("   731920")</f>
        <v xml:space="preserve">   731920</v>
      </c>
      <c r="B4867" t="str">
        <f>T("   EPINGLES DE S¹RETÉ EN FER OU EN ACIER")</f>
        <v xml:space="preserve">   EPINGLES DE S¹RETÉ EN FER OU EN ACIER</v>
      </c>
      <c r="C4867">
        <v>3337524</v>
      </c>
      <c r="D4867">
        <v>541</v>
      </c>
    </row>
    <row r="4868" spans="1:4" x14ac:dyDescent="0.25">
      <c r="A4868" t="str">
        <f>T("   731930")</f>
        <v xml:space="preserve">   731930</v>
      </c>
      <c r="B4868" t="str">
        <f>T("   Autres épingles en fer ou en acier, n.d.a.")</f>
        <v xml:space="preserve">   Autres épingles en fer ou en acier, n.d.a.</v>
      </c>
      <c r="C4868">
        <v>856585</v>
      </c>
      <c r="D4868">
        <v>3730</v>
      </c>
    </row>
    <row r="4869" spans="1:4" x14ac:dyDescent="0.25">
      <c r="A4869" t="str">
        <f>T("   732090")</f>
        <v xml:space="preserve">   732090</v>
      </c>
      <c r="B4869" t="s">
        <v>355</v>
      </c>
      <c r="C4869">
        <v>19180863</v>
      </c>
      <c r="D4869">
        <v>9606</v>
      </c>
    </row>
    <row r="4870" spans="1:4" x14ac:dyDescent="0.25">
      <c r="A4870" t="str">
        <f>T("   732111")</f>
        <v xml:space="preserve">   732111</v>
      </c>
      <c r="B4870" t="s">
        <v>356</v>
      </c>
      <c r="C4870">
        <v>1933230</v>
      </c>
      <c r="D4870">
        <v>907</v>
      </c>
    </row>
    <row r="4871" spans="1:4" x14ac:dyDescent="0.25">
      <c r="A4871" t="str">
        <f>T("   732112")</f>
        <v xml:space="preserve">   732112</v>
      </c>
      <c r="B4871" t="s">
        <v>357</v>
      </c>
      <c r="C4871">
        <v>8524384</v>
      </c>
      <c r="D4871">
        <v>4594</v>
      </c>
    </row>
    <row r="4872" spans="1:4" x14ac:dyDescent="0.25">
      <c r="A4872" t="str">
        <f>T("   732219")</f>
        <v xml:space="preserve">   732219</v>
      </c>
      <c r="B4872" t="str">
        <f>T("   Radiateurs pour le chauffage central, à chauffage non électrique et leurs parties, en fer ou acier (à l'excl. de la fonte et sauf les parties désignées ou comprises en d'autres endroits et les chaudières de chauffage central)")</f>
        <v xml:space="preserve">   Radiateurs pour le chauffage central, à chauffage non électrique et leurs parties, en fer ou acier (à l'excl. de la fonte et sauf les parties désignées ou comprises en d'autres endroits et les chaudières de chauffage central)</v>
      </c>
      <c r="C4872">
        <v>1433745</v>
      </c>
      <c r="D4872">
        <v>885</v>
      </c>
    </row>
    <row r="4873" spans="1:4" x14ac:dyDescent="0.25">
      <c r="A4873" t="str">
        <f>T("   732310")</f>
        <v xml:space="preserve">   732310</v>
      </c>
      <c r="B4873" t="str">
        <f>T("   Paille de fer ou d'acier; éponges, torchons, gants et articles simil. pour le récurage, le polissage ou usages analogues, en fer ou acier")</f>
        <v xml:space="preserve">   Paille de fer ou d'acier; éponges, torchons, gants et articles simil. pour le récurage, le polissage ou usages analogues, en fer ou acier</v>
      </c>
      <c r="C4873">
        <v>500000</v>
      </c>
      <c r="D4873">
        <v>5</v>
      </c>
    </row>
    <row r="4874" spans="1:4" x14ac:dyDescent="0.25">
      <c r="A4874" t="str">
        <f>T("   732393")</f>
        <v xml:space="preserve">   732393</v>
      </c>
      <c r="B4874" t="s">
        <v>360</v>
      </c>
      <c r="C4874">
        <v>54432383</v>
      </c>
      <c r="D4874">
        <v>19618</v>
      </c>
    </row>
    <row r="4875" spans="1:4" x14ac:dyDescent="0.25">
      <c r="A4875" t="str">
        <f>T("   732394")</f>
        <v xml:space="preserve">   732394</v>
      </c>
      <c r="B4875" t="s">
        <v>361</v>
      </c>
      <c r="C4875">
        <v>14576923</v>
      </c>
      <c r="D4875">
        <v>10472</v>
      </c>
    </row>
    <row r="4876" spans="1:4" x14ac:dyDescent="0.25">
      <c r="A4876" t="str">
        <f>T("   732399")</f>
        <v xml:space="preserve">   732399</v>
      </c>
      <c r="B4876" t="s">
        <v>362</v>
      </c>
      <c r="C4876">
        <v>79201998</v>
      </c>
      <c r="D4876">
        <v>59361</v>
      </c>
    </row>
    <row r="4877" spans="1:4" x14ac:dyDescent="0.25">
      <c r="A4877" t="str">
        <f>T("   732410")</f>
        <v xml:space="preserve">   732410</v>
      </c>
      <c r="B4877" t="str">
        <f>T("   ÉVIERS ET LAVABOS EN ACIER INOXYDABLE")</f>
        <v xml:space="preserve">   ÉVIERS ET LAVABOS EN ACIER INOXYDABLE</v>
      </c>
      <c r="C4877">
        <v>3824901</v>
      </c>
      <c r="D4877">
        <v>690</v>
      </c>
    </row>
    <row r="4878" spans="1:4" x14ac:dyDescent="0.25">
      <c r="A4878" t="str">
        <f>T("   732429")</f>
        <v xml:space="preserve">   732429</v>
      </c>
      <c r="B4878" t="str">
        <f>T("   Baignoires en tôle d'acier")</f>
        <v xml:space="preserve">   Baignoires en tôle d'acier</v>
      </c>
      <c r="C4878">
        <v>266976</v>
      </c>
      <c r="D4878">
        <v>2415</v>
      </c>
    </row>
    <row r="4879" spans="1:4" x14ac:dyDescent="0.25">
      <c r="A4879" t="str">
        <f>T("   732510")</f>
        <v xml:space="preserve">   732510</v>
      </c>
      <c r="B4879" t="str">
        <f>T("   OUVRAGES EN FER OU EN ACIER, EN FONTE NON-MALLÉABLE, MOULÉS, N.D.A.")</f>
        <v xml:space="preserve">   OUVRAGES EN FER OU EN ACIER, EN FONTE NON-MALLÉABLE, MOULÉS, N.D.A.</v>
      </c>
      <c r="C4879">
        <v>22831426</v>
      </c>
      <c r="D4879">
        <v>18225</v>
      </c>
    </row>
    <row r="4880" spans="1:4" x14ac:dyDescent="0.25">
      <c r="A4880" t="str">
        <f>T("   732591")</f>
        <v xml:space="preserve">   732591</v>
      </c>
      <c r="B4880" t="str">
        <f>T("   Boulets et simil., pour broyeurs, moulés (sauf en fonte non malléable)")</f>
        <v xml:space="preserve">   Boulets et simil., pour broyeurs, moulés (sauf en fonte non malléable)</v>
      </c>
      <c r="C4880">
        <v>3789481</v>
      </c>
      <c r="D4880">
        <v>984</v>
      </c>
    </row>
    <row r="4881" spans="1:4" x14ac:dyDescent="0.25">
      <c r="A4881" t="str">
        <f>T("   732599")</f>
        <v xml:space="preserve">   732599</v>
      </c>
      <c r="B4881" t="str">
        <f>T("   OUVRAGES EN FONTE, FER OU ACIER, MOULÉS, N.D.A. (À L'EXCL. DE LA FONTE NON-MALLÉABLE ET SAUF BOULETS ET ARTICLES SIMIL. POUR BROYEURS)")</f>
        <v xml:space="preserve">   OUVRAGES EN FONTE, FER OU ACIER, MOULÉS, N.D.A. (À L'EXCL. DE LA FONTE NON-MALLÉABLE ET SAUF BOULETS ET ARTICLES SIMIL. POUR BROYEURS)</v>
      </c>
      <c r="C4881">
        <v>97344</v>
      </c>
      <c r="D4881">
        <v>1</v>
      </c>
    </row>
    <row r="4882" spans="1:4" x14ac:dyDescent="0.25">
      <c r="A4882" t="str">
        <f>T("   732619")</f>
        <v xml:space="preserve">   732619</v>
      </c>
      <c r="B4882" t="str">
        <f>T("   Ouvrages en fer ou en acier, forgés ou estampés mais non autrement travaillés, n.d.a. (sauf boulets et articles simil. pour broyeurs)")</f>
        <v xml:space="preserve">   Ouvrages en fer ou en acier, forgés ou estampés mais non autrement travaillés, n.d.a. (sauf boulets et articles simil. pour broyeurs)</v>
      </c>
      <c r="C4882">
        <v>2696652</v>
      </c>
      <c r="D4882">
        <v>629</v>
      </c>
    </row>
    <row r="4883" spans="1:4" x14ac:dyDescent="0.25">
      <c r="A4883" t="str">
        <f>T("   732620")</f>
        <v xml:space="preserve">   732620</v>
      </c>
      <c r="B4883" t="str">
        <f>T("   Ouvrages en fil de fer ou d'acier, n.d.a.")</f>
        <v xml:space="preserve">   Ouvrages en fil de fer ou d'acier, n.d.a.</v>
      </c>
      <c r="C4883">
        <v>544322</v>
      </c>
      <c r="D4883">
        <v>87</v>
      </c>
    </row>
    <row r="4884" spans="1:4" x14ac:dyDescent="0.25">
      <c r="A4884" t="str">
        <f>T("   732690")</f>
        <v xml:space="preserve">   732690</v>
      </c>
      <c r="B4884"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4884">
        <v>238597133</v>
      </c>
      <c r="D4884">
        <v>107662.5</v>
      </c>
    </row>
    <row r="4885" spans="1:4" x14ac:dyDescent="0.25">
      <c r="A4885" t="str">
        <f>T("   740312")</f>
        <v xml:space="preserve">   740312</v>
      </c>
      <c r="B4885" t="str">
        <f>T("   Cuivre affiné sous forme de barres à fil 'wire-bars'")</f>
        <v xml:space="preserve">   Cuivre affiné sous forme de barres à fil 'wire-bars'</v>
      </c>
      <c r="C4885">
        <v>6595659</v>
      </c>
      <c r="D4885">
        <v>431</v>
      </c>
    </row>
    <row r="4886" spans="1:4" x14ac:dyDescent="0.25">
      <c r="A4886" t="str">
        <f>T("   740710")</f>
        <v xml:space="preserve">   740710</v>
      </c>
      <c r="B4886" t="str">
        <f>T("   Barres et profilés en cuivre affiné, n.d.a.")</f>
        <v xml:space="preserve">   Barres et profilés en cuivre affiné, n.d.a.</v>
      </c>
      <c r="C4886">
        <v>1151975</v>
      </c>
      <c r="D4886">
        <v>44.42</v>
      </c>
    </row>
    <row r="4887" spans="1:4" x14ac:dyDescent="0.25">
      <c r="A4887" t="str">
        <f>T("   740729")</f>
        <v xml:space="preserve">   740729</v>
      </c>
      <c r="B4887" t="str">
        <f>T("   BARRES ET PROFILÉS EN ALLIAGES DE CUIVRE, N.D.A. (SAUF EN ALLIAGES À BASE DE CUIVRE-ZINC -LAITON-)")</f>
        <v xml:space="preserve">   BARRES ET PROFILÉS EN ALLIAGES DE CUIVRE, N.D.A. (SAUF EN ALLIAGES À BASE DE CUIVRE-ZINC -LAITON-)</v>
      </c>
      <c r="C4887">
        <v>688823</v>
      </c>
      <c r="D4887">
        <v>44</v>
      </c>
    </row>
    <row r="4888" spans="1:4" x14ac:dyDescent="0.25">
      <c r="A4888" t="str">
        <f>T("   740822")</f>
        <v xml:space="preserve">   740822</v>
      </c>
      <c r="B4888" t="str">
        <f>T("   FILS EN ALLIAGES À BASE DE CUIVRE-NICKEL [CUPRONICKEL] OU DE CUIVRE-NICKEL-ZINC [MAILLECHORT] [01/01/1988-31/12/1994: FILS EN ALLIAGES A BASE DE CUIVRE-NICKEL -CUPRONICKEL- OU DE CUIVRE-NICKEL-ZINC -MAILLECHORT-]")</f>
        <v xml:space="preserve">   FILS EN ALLIAGES À BASE DE CUIVRE-NICKEL [CUPRONICKEL] OU DE CUIVRE-NICKEL-ZINC [MAILLECHORT] [01/01/1988-31/12/1994: FILS EN ALLIAGES A BASE DE CUIVRE-NICKEL -CUPRONICKEL- OU DE CUIVRE-NICKEL-ZINC -MAILLECHORT-]</v>
      </c>
      <c r="C4888">
        <v>516338</v>
      </c>
      <c r="D4888">
        <v>4</v>
      </c>
    </row>
    <row r="4889" spans="1:4" x14ac:dyDescent="0.25">
      <c r="A4889" t="str">
        <f>T("   740829")</f>
        <v xml:space="preserve">   740829</v>
      </c>
      <c r="B4889" t="s">
        <v>364</v>
      </c>
      <c r="C4889">
        <v>1059375</v>
      </c>
      <c r="D4889">
        <v>101</v>
      </c>
    </row>
    <row r="4890" spans="1:4" x14ac:dyDescent="0.25">
      <c r="A4890" t="str">
        <f>T("   741110")</f>
        <v xml:space="preserve">   741110</v>
      </c>
      <c r="B4890" t="str">
        <f>T("   Tubes et tuyaux en cuivre affiné")</f>
        <v xml:space="preserve">   Tubes et tuyaux en cuivre affiné</v>
      </c>
      <c r="C4890">
        <v>1520353</v>
      </c>
      <c r="D4890">
        <v>626</v>
      </c>
    </row>
    <row r="4891" spans="1:4" x14ac:dyDescent="0.25">
      <c r="A4891" t="str">
        <f>T("   741220")</f>
        <v xml:space="preserve">   741220</v>
      </c>
      <c r="B4891" t="str">
        <f>T("   Accessoires de tuyauterie -raccords, coudes, manchons, par exemple-, en alliages de cuivre")</f>
        <v xml:space="preserve">   Accessoires de tuyauterie -raccords, coudes, manchons, par exemple-, en alliages de cuivre</v>
      </c>
      <c r="C4891">
        <v>17868327</v>
      </c>
      <c r="D4891">
        <v>215</v>
      </c>
    </row>
    <row r="4892" spans="1:4" x14ac:dyDescent="0.25">
      <c r="A4892" t="str">
        <f>T("   741300")</f>
        <v xml:space="preserve">   741300</v>
      </c>
      <c r="B4892" t="str">
        <f>T("   Torons, câbles, tresses et articles simil., en cuivre (sauf produits isolés pour l'électricité)")</f>
        <v xml:space="preserve">   Torons, câbles, tresses et articles simil., en cuivre (sauf produits isolés pour l'électricité)</v>
      </c>
      <c r="C4892">
        <v>65435861</v>
      </c>
      <c r="D4892">
        <v>12735</v>
      </c>
    </row>
    <row r="4893" spans="1:4" x14ac:dyDescent="0.25">
      <c r="A4893" t="str">
        <f>T("   741991")</f>
        <v xml:space="preserve">   741991</v>
      </c>
      <c r="B4893" t="str">
        <f>T("   Ouvrages en cuivre, coulés, moulés, estampés ou forgés, mais non autrement travaillés, n.d.a.")</f>
        <v xml:space="preserve">   Ouvrages en cuivre, coulés, moulés, estampés ou forgés, mais non autrement travaillés, n.d.a.</v>
      </c>
      <c r="C4893">
        <v>389568</v>
      </c>
      <c r="D4893">
        <v>54</v>
      </c>
    </row>
    <row r="4894" spans="1:4" x14ac:dyDescent="0.25">
      <c r="A4894" t="str">
        <f>T("   741999")</f>
        <v xml:space="preserve">   741999</v>
      </c>
      <c r="B4894" t="str">
        <f>T("   Ouvrages en cuivre, n.d.a.")</f>
        <v xml:space="preserve">   Ouvrages en cuivre, n.d.a.</v>
      </c>
      <c r="C4894">
        <v>207284</v>
      </c>
      <c r="D4894">
        <v>21</v>
      </c>
    </row>
    <row r="4895" spans="1:4" x14ac:dyDescent="0.25">
      <c r="A4895" t="str">
        <f>T("   760421")</f>
        <v xml:space="preserve">   760421</v>
      </c>
      <c r="B4895" t="str">
        <f>T("   Profilés creux en alliages d'aluminium, n.d.a.")</f>
        <v xml:space="preserve">   Profilés creux en alliages d'aluminium, n.d.a.</v>
      </c>
      <c r="C4895">
        <v>2770638</v>
      </c>
      <c r="D4895">
        <v>463</v>
      </c>
    </row>
    <row r="4896" spans="1:4" x14ac:dyDescent="0.25">
      <c r="A4896" t="str">
        <f>T("   760429")</f>
        <v xml:space="preserve">   760429</v>
      </c>
      <c r="B4896" t="str">
        <f>T("   Barres et profilés pleins en alliages d'aluminium, n.d.a.")</f>
        <v xml:space="preserve">   Barres et profilés pleins en alliages d'aluminium, n.d.a.</v>
      </c>
      <c r="C4896">
        <v>64953946</v>
      </c>
      <c r="D4896">
        <v>30800</v>
      </c>
    </row>
    <row r="4897" spans="1:4" x14ac:dyDescent="0.25">
      <c r="A4897" t="str">
        <f>T("   760719")</f>
        <v xml:space="preserve">   760719</v>
      </c>
      <c r="B4897" t="str">
        <f>T("   Feuilles et bandes minces d'aluminium, sans support, laminées et autrement traitées, d'une épaisseur &lt;= 0,2 mm (sauf feuilles pour le marquage au fer du n° 3212 et sauf feuilles travaillées pour la décoration des sapins de Noël)")</f>
        <v xml:space="preserve">   Feuilles et bandes minces d'aluminium, sans support, laminées et autrement traitées, d'une épaisseur &lt;= 0,2 mm (sauf feuilles pour le marquage au fer du n° 3212 et sauf feuilles travaillées pour la décoration des sapins de Noël)</v>
      </c>
      <c r="C4897">
        <v>10249436</v>
      </c>
      <c r="D4897">
        <v>4388</v>
      </c>
    </row>
    <row r="4898" spans="1:4" x14ac:dyDescent="0.25">
      <c r="A4898" t="str">
        <f>T("   760820")</f>
        <v xml:space="preserve">   760820</v>
      </c>
      <c r="B4898" t="str">
        <f>T("   Tubes et tuyaux en alliages d'aluminium (sauf profilés creux)")</f>
        <v xml:space="preserve">   Tubes et tuyaux en alliages d'aluminium (sauf profilés creux)</v>
      </c>
      <c r="C4898">
        <v>198100</v>
      </c>
      <c r="D4898">
        <v>75</v>
      </c>
    </row>
    <row r="4899" spans="1:4" x14ac:dyDescent="0.25">
      <c r="A4899" t="str">
        <f>T("   760900")</f>
        <v xml:space="preserve">   760900</v>
      </c>
      <c r="B4899" t="str">
        <f>T("   Accessoires de tuyauterie, p.ex. raccords, coudes, manchons, en aluminium")</f>
        <v xml:space="preserve">   Accessoires de tuyauterie, p.ex. raccords, coudes, manchons, en aluminium</v>
      </c>
      <c r="C4899">
        <v>739924</v>
      </c>
      <c r="D4899">
        <v>208</v>
      </c>
    </row>
    <row r="4900" spans="1:4" x14ac:dyDescent="0.25">
      <c r="A4900" t="str">
        <f>T("   761010")</f>
        <v xml:space="preserve">   761010</v>
      </c>
      <c r="B4900" t="str">
        <f>T("   Portes, fenêtres et leurs cadres, chambranles et seuils, en aluminium (sauf pièces de garnissage)")</f>
        <v xml:space="preserve">   Portes, fenêtres et leurs cadres, chambranles et seuils, en aluminium (sauf pièces de garnissage)</v>
      </c>
      <c r="C4900">
        <v>3905585</v>
      </c>
      <c r="D4900">
        <v>4372</v>
      </c>
    </row>
    <row r="4901" spans="1:4" x14ac:dyDescent="0.25">
      <c r="A4901" t="str">
        <f>T("   761090")</f>
        <v xml:space="preserve">   761090</v>
      </c>
      <c r="B4901" t="str">
        <f>T("   Constructions et parties de constructions, en aluminium, n.d.a., ainsi que tôles, barres, profilés, tubes, tuyaux et simil., en aluminium, n.d.a; (sauf constructions préfabriquées du n° 9406, portes, fenêtres et leurs cadres, chambranles et seuils)")</f>
        <v xml:space="preserve">   Constructions et parties de constructions, en aluminium, n.d.a., ainsi que tôles, barres, profilés, tubes, tuyaux et simil., en aluminium, n.d.a; (sauf constructions préfabriquées du n° 9406, portes, fenêtres et leurs cadres, chambranles et seuils)</v>
      </c>
      <c r="C4901">
        <v>28215025</v>
      </c>
      <c r="D4901">
        <v>16208.14</v>
      </c>
    </row>
    <row r="4902" spans="1:4" x14ac:dyDescent="0.25">
      <c r="A4902" t="str">
        <f>T("   761511")</f>
        <v xml:space="preserve">   761511</v>
      </c>
      <c r="B4902" t="str">
        <f>T("   Eponges, torchons, gants et articles simil. pour le récurage, le polissage et usages analogues, en aluminium (à l'excl. des articles d'hygiène et de toilette)")</f>
        <v xml:space="preserve">   Eponges, torchons, gants et articles simil. pour le récurage, le polissage et usages analogues, en aluminium (à l'excl. des articles d'hygiène et de toilette)</v>
      </c>
      <c r="C4902">
        <v>339131</v>
      </c>
      <c r="D4902">
        <v>203</v>
      </c>
    </row>
    <row r="4903" spans="1:4" x14ac:dyDescent="0.25">
      <c r="A4903" t="str">
        <f>T("   761519")</f>
        <v xml:space="preserve">   761519</v>
      </c>
      <c r="B4903" t="s">
        <v>367</v>
      </c>
      <c r="C4903">
        <v>42076576</v>
      </c>
      <c r="D4903">
        <v>16760</v>
      </c>
    </row>
    <row r="4904" spans="1:4" x14ac:dyDescent="0.25">
      <c r="A4904" t="str">
        <f>T("   761520")</f>
        <v xml:space="preserve">   761520</v>
      </c>
      <c r="B4904" t="str">
        <f>T("   Articles d'hygiène ou de toilette, et leurs parties, en aluminium (sauf bidons, boîtes et récipients simil. du n° 7612 et sauf accessoires de tuyauterie)")</f>
        <v xml:space="preserve">   Articles d'hygiène ou de toilette, et leurs parties, en aluminium (sauf bidons, boîtes et récipients simil. du n° 7612 et sauf accessoires de tuyauterie)</v>
      </c>
      <c r="C4904">
        <v>1839889</v>
      </c>
      <c r="D4904">
        <v>1021</v>
      </c>
    </row>
    <row r="4905" spans="1:4" x14ac:dyDescent="0.25">
      <c r="A4905" t="str">
        <f>T("   761699")</f>
        <v xml:space="preserve">   761699</v>
      </c>
      <c r="B4905" t="str">
        <f>T("   Ouvrages en aluminium, n.d.a.")</f>
        <v xml:space="preserve">   Ouvrages en aluminium, n.d.a.</v>
      </c>
      <c r="C4905">
        <v>53024107</v>
      </c>
      <c r="D4905">
        <v>13260</v>
      </c>
    </row>
    <row r="4906" spans="1:4" x14ac:dyDescent="0.25">
      <c r="A4906" t="str">
        <f>T("   780600")</f>
        <v xml:space="preserve">   780600</v>
      </c>
      <c r="B4906" t="str">
        <f>T("   Ouvrages en plomb, n.d.a.")</f>
        <v xml:space="preserve">   Ouvrages en plomb, n.d.a.</v>
      </c>
      <c r="C4906">
        <v>1164985</v>
      </c>
      <c r="D4906">
        <v>128</v>
      </c>
    </row>
    <row r="4907" spans="1:4" x14ac:dyDescent="0.25">
      <c r="A4907" t="str">
        <f>T("   790500")</f>
        <v xml:space="preserve">   790500</v>
      </c>
      <c r="B4907" t="str">
        <f>T("   TOLES, BANDES ET FEUILLES EN ZINC")</f>
        <v xml:space="preserve">   TOLES, BANDES ET FEUILLES EN ZINC</v>
      </c>
      <c r="C4907">
        <v>20130303</v>
      </c>
      <c r="D4907">
        <v>51986</v>
      </c>
    </row>
    <row r="4908" spans="1:4" x14ac:dyDescent="0.25">
      <c r="A4908" t="str">
        <f>T("   810520")</f>
        <v xml:space="preserve">   810520</v>
      </c>
      <c r="B4908" t="str">
        <f>T("   Mattes de cobalt et autres produits intermédiaires de la métallurgie du cobalt; cobalt sous forme brute; poudres de cobalt")</f>
        <v xml:space="preserve">   Mattes de cobalt et autres produits intermédiaires de la métallurgie du cobalt; cobalt sous forme brute; poudres de cobalt</v>
      </c>
      <c r="C4908">
        <v>1233983</v>
      </c>
      <c r="D4908">
        <v>260</v>
      </c>
    </row>
    <row r="4909" spans="1:4" x14ac:dyDescent="0.25">
      <c r="A4909" t="str">
        <f>T("   820110")</f>
        <v xml:space="preserve">   820110</v>
      </c>
      <c r="B4909" t="str">
        <f>T("   Bêches et pelles, avec partie travaillante en métaux communs")</f>
        <v xml:space="preserve">   Bêches et pelles, avec partie travaillante en métaux communs</v>
      </c>
      <c r="C4909">
        <v>354218</v>
      </c>
      <c r="D4909">
        <v>108</v>
      </c>
    </row>
    <row r="4910" spans="1:4" x14ac:dyDescent="0.25">
      <c r="A4910" t="str">
        <f>T("   820120")</f>
        <v xml:space="preserve">   820120</v>
      </c>
      <c r="B4910" t="str">
        <f>T("   Fourches à fouiller, fourches à faner, fourches à fumier, avec partie travaillante en métaux communs")</f>
        <v xml:space="preserve">   Fourches à fouiller, fourches à faner, fourches à fumier, avec partie travaillante en métaux communs</v>
      </c>
      <c r="C4910">
        <v>1439177</v>
      </c>
      <c r="D4910">
        <v>492</v>
      </c>
    </row>
    <row r="4911" spans="1:4" x14ac:dyDescent="0.25">
      <c r="A4911" t="str">
        <f>T("   820130")</f>
        <v xml:space="preserve">   820130</v>
      </c>
      <c r="B4911" t="str">
        <f>T("   Pioches, pics, houes, binettes, râteaux et racloirs, avec partie travaillante en métaux communs (sauf piolets)")</f>
        <v xml:space="preserve">   Pioches, pics, houes, binettes, râteaux et racloirs, avec partie travaillante en métaux communs (sauf piolets)</v>
      </c>
      <c r="C4911">
        <v>9184</v>
      </c>
      <c r="D4911">
        <v>14</v>
      </c>
    </row>
    <row r="4912" spans="1:4" x14ac:dyDescent="0.25">
      <c r="A4912" t="str">
        <f>T("   820150")</f>
        <v xml:space="preserve">   820150</v>
      </c>
      <c r="B4912" t="str">
        <f>T("   Sécateurs et simil. maniés à une main, y.c. les -cisailles à volailles-, avec partie travaillante en métaux communs")</f>
        <v xml:space="preserve">   Sécateurs et simil. maniés à une main, y.c. les -cisailles à volailles-, avec partie travaillante en métaux communs</v>
      </c>
      <c r="C4912">
        <v>926215</v>
      </c>
      <c r="D4912">
        <v>135</v>
      </c>
    </row>
    <row r="4913" spans="1:4" x14ac:dyDescent="0.25">
      <c r="A4913" t="str">
        <f>T("   820190")</f>
        <v xml:space="preserve">   820190</v>
      </c>
      <c r="B4913" t="s">
        <v>369</v>
      </c>
      <c r="C4913">
        <v>378580</v>
      </c>
      <c r="D4913">
        <v>89</v>
      </c>
    </row>
    <row r="4914" spans="1:4" x14ac:dyDescent="0.25">
      <c r="A4914" t="str">
        <f>T("   820210")</f>
        <v xml:space="preserve">   820210</v>
      </c>
      <c r="B4914" t="str">
        <f>T("   Scies à main, avec partie travaillante en métaux communs (à l'excl. des tronçonneuses)")</f>
        <v xml:space="preserve">   Scies à main, avec partie travaillante en métaux communs (à l'excl. des tronçonneuses)</v>
      </c>
      <c r="C4914">
        <v>734020</v>
      </c>
      <c r="D4914">
        <v>286</v>
      </c>
    </row>
    <row r="4915" spans="1:4" x14ac:dyDescent="0.25">
      <c r="A4915" t="str">
        <f>T("   820220")</f>
        <v xml:space="preserve">   820220</v>
      </c>
      <c r="B4915" t="str">
        <f>T("   Lames de scies à ruban en métaux communs")</f>
        <v xml:space="preserve">   Lames de scies à ruban en métaux communs</v>
      </c>
      <c r="C4915">
        <v>6482009</v>
      </c>
      <c r="D4915">
        <v>669</v>
      </c>
    </row>
    <row r="4916" spans="1:4" x14ac:dyDescent="0.25">
      <c r="A4916" t="str">
        <f>T("   820231")</f>
        <v xml:space="preserve">   820231</v>
      </c>
      <c r="B4916" t="str">
        <f>T("   Lames de scies circulaires, y.c. -les lames de fraises-scies- en métaux communs et avec partie travaillante en acier")</f>
        <v xml:space="preserve">   Lames de scies circulaires, y.c. -les lames de fraises-scies- en métaux communs et avec partie travaillante en acier</v>
      </c>
      <c r="C4916">
        <v>189572</v>
      </c>
      <c r="D4916">
        <v>54</v>
      </c>
    </row>
    <row r="4917" spans="1:4" x14ac:dyDescent="0.25">
      <c r="A4917" t="str">
        <f>T("   820239")</f>
        <v xml:space="preserve">   820239</v>
      </c>
      <c r="B4917" t="str">
        <f>T("   Lames de scies circulaires, y.c. les lames de fraises-scies, et leurs parties, en métaux communs et avec partie travaillante en matières autres que l'acier")</f>
        <v xml:space="preserve">   Lames de scies circulaires, y.c. les lames de fraises-scies, et leurs parties, en métaux communs et avec partie travaillante en matières autres que l'acier</v>
      </c>
      <c r="C4917">
        <v>2606838</v>
      </c>
      <c r="D4917">
        <v>20</v>
      </c>
    </row>
    <row r="4918" spans="1:4" x14ac:dyDescent="0.25">
      <c r="A4918" t="str">
        <f>T("   820291")</f>
        <v xml:space="preserve">   820291</v>
      </c>
      <c r="B4918" t="str">
        <f>T("   LAMES DE SCIES DROITES EN METAUX COMMUNS, POUR LE TRAVAIL DES METAUX")</f>
        <v xml:space="preserve">   LAMES DE SCIES DROITES EN METAUX COMMUNS, POUR LE TRAVAIL DES METAUX</v>
      </c>
      <c r="C4918">
        <v>1485750</v>
      </c>
      <c r="D4918">
        <v>125</v>
      </c>
    </row>
    <row r="4919" spans="1:4" x14ac:dyDescent="0.25">
      <c r="A4919" t="str">
        <f>T("   820299")</f>
        <v xml:space="preserve">   820299</v>
      </c>
      <c r="B4919" t="s">
        <v>370</v>
      </c>
      <c r="C4919">
        <v>21170390</v>
      </c>
      <c r="D4919">
        <v>26921</v>
      </c>
    </row>
    <row r="4920" spans="1:4" x14ac:dyDescent="0.25">
      <c r="A4920" t="str">
        <f>T("   820310")</f>
        <v xml:space="preserve">   820310</v>
      </c>
      <c r="B4920" t="str">
        <f>T("   Limes, râpes et outils simil. à main, en métaux communs")</f>
        <v xml:space="preserve">   Limes, râpes et outils simil. à main, en métaux communs</v>
      </c>
      <c r="C4920">
        <v>8257881</v>
      </c>
      <c r="D4920">
        <v>1074</v>
      </c>
    </row>
    <row r="4921" spans="1:4" x14ac:dyDescent="0.25">
      <c r="A4921" t="str">
        <f>T("   820320")</f>
        <v xml:space="preserve">   820320</v>
      </c>
      <c r="B4921" t="str">
        <f>T("   PINCES -MÊME COUPANTES-, TENAILLES, BRUCELLES À USAGE NON-MÉDICAL ET OUTILS SIMIL. À MAIN, EN MÉTAUX COMMUNS")</f>
        <v xml:space="preserve">   PINCES -MÊME COUPANTES-, TENAILLES, BRUCELLES À USAGE NON-MÉDICAL ET OUTILS SIMIL. À MAIN, EN MÉTAUX COMMUNS</v>
      </c>
      <c r="C4921">
        <v>11748770</v>
      </c>
      <c r="D4921">
        <v>1916</v>
      </c>
    </row>
    <row r="4922" spans="1:4" x14ac:dyDescent="0.25">
      <c r="A4922" t="str">
        <f>T("   820330")</f>
        <v xml:space="preserve">   820330</v>
      </c>
      <c r="B4922" t="str">
        <f>T("   Cisailles à métaux et outils simil., à main, en métaux communs")</f>
        <v xml:space="preserve">   Cisailles à métaux et outils simil., à main, en métaux communs</v>
      </c>
      <c r="C4922">
        <v>1190567</v>
      </c>
      <c r="D4922">
        <v>408</v>
      </c>
    </row>
    <row r="4923" spans="1:4" x14ac:dyDescent="0.25">
      <c r="A4923" t="str">
        <f>T("   820340")</f>
        <v xml:space="preserve">   820340</v>
      </c>
      <c r="B4923" t="str">
        <f>T("   Coupe-tubes, coupe-boulons, emporte-pièce et outils simil., à main, en métaux communs")</f>
        <v xml:space="preserve">   Coupe-tubes, coupe-boulons, emporte-pièce et outils simil., à main, en métaux communs</v>
      </c>
      <c r="C4923">
        <v>131848</v>
      </c>
      <c r="D4923">
        <v>20</v>
      </c>
    </row>
    <row r="4924" spans="1:4" x14ac:dyDescent="0.25">
      <c r="A4924" t="str">
        <f>T("   820411")</f>
        <v xml:space="preserve">   820411</v>
      </c>
      <c r="B4924" t="str">
        <f>T("   Clés de serrage à main, y.c. -les clés dynamométriques-, en métaux communs, à ouverture fixe")</f>
        <v xml:space="preserve">   Clés de serrage à main, y.c. -les clés dynamométriques-, en métaux communs, à ouverture fixe</v>
      </c>
      <c r="C4924">
        <v>5407958</v>
      </c>
      <c r="D4924">
        <v>333.3</v>
      </c>
    </row>
    <row r="4925" spans="1:4" x14ac:dyDescent="0.25">
      <c r="A4925" t="str">
        <f>T("   820412")</f>
        <v xml:space="preserve">   820412</v>
      </c>
      <c r="B4925" t="str">
        <f>T("   Clés de serrage à main, y.c. -les clés dynamométriques-, en métaux communs, à ouverture variable")</f>
        <v xml:space="preserve">   Clés de serrage à main, y.c. -les clés dynamométriques-, en métaux communs, à ouverture variable</v>
      </c>
      <c r="C4925">
        <v>10813345</v>
      </c>
      <c r="D4925">
        <v>21736</v>
      </c>
    </row>
    <row r="4926" spans="1:4" x14ac:dyDescent="0.25">
      <c r="A4926" t="str">
        <f>T("   820420")</f>
        <v xml:space="preserve">   820420</v>
      </c>
      <c r="B4926" t="str">
        <f>T("   Douilles de serrage interchangeables, même avec manches, en métaux communs")</f>
        <v xml:space="preserve">   Douilles de serrage interchangeables, même avec manches, en métaux communs</v>
      </c>
      <c r="C4926">
        <v>6670380</v>
      </c>
      <c r="D4926">
        <v>845</v>
      </c>
    </row>
    <row r="4927" spans="1:4" x14ac:dyDescent="0.25">
      <c r="A4927" t="str">
        <f>T("   820520")</f>
        <v xml:space="preserve">   820520</v>
      </c>
      <c r="B4927" t="str">
        <f>T("   Marteaux et masses, avec partie travaillante en métaux communs")</f>
        <v xml:space="preserve">   Marteaux et masses, avec partie travaillante en métaux communs</v>
      </c>
      <c r="C4927">
        <v>4869325</v>
      </c>
      <c r="D4927">
        <v>1832</v>
      </c>
    </row>
    <row r="4928" spans="1:4" x14ac:dyDescent="0.25">
      <c r="A4928" t="str">
        <f>T("   820530")</f>
        <v xml:space="preserve">   820530</v>
      </c>
      <c r="B4928" t="str">
        <f>T("   Rabots, ciseaux, gouges et outils tranchants simil. à main pour le travail du bois")</f>
        <v xml:space="preserve">   Rabots, ciseaux, gouges et outils tranchants simil. à main pour le travail du bois</v>
      </c>
      <c r="C4928">
        <v>1407035</v>
      </c>
      <c r="D4928">
        <v>1572</v>
      </c>
    </row>
    <row r="4929" spans="1:4" x14ac:dyDescent="0.25">
      <c r="A4929" t="str">
        <f>T("   820540")</f>
        <v xml:space="preserve">   820540</v>
      </c>
      <c r="B4929" t="str">
        <f>T("   Tournevis à main")</f>
        <v xml:space="preserve">   Tournevis à main</v>
      </c>
      <c r="C4929">
        <v>3590639</v>
      </c>
      <c r="D4929">
        <v>805</v>
      </c>
    </row>
    <row r="4930" spans="1:4" x14ac:dyDescent="0.25">
      <c r="A4930" t="str">
        <f>T("   820551")</f>
        <v xml:space="preserve">   820551</v>
      </c>
      <c r="B4930" t="str">
        <f>T("   Outils à main d'économie domestique, non mécaniques, avec partie travaillante en métaux communs, n.d.a.")</f>
        <v xml:space="preserve">   Outils à main d'économie domestique, non mécaniques, avec partie travaillante en métaux communs, n.d.a.</v>
      </c>
      <c r="C4930">
        <v>18679531</v>
      </c>
      <c r="D4930">
        <v>1966</v>
      </c>
    </row>
    <row r="4931" spans="1:4" x14ac:dyDescent="0.25">
      <c r="A4931" t="str">
        <f>T("   820559")</f>
        <v xml:space="preserve">   820559</v>
      </c>
      <c r="B4931" t="str">
        <f>T("   Outils à main, y.c. -les diamants de vitrier-, en métaux communs, n.d.a.")</f>
        <v xml:space="preserve">   Outils à main, y.c. -les diamants de vitrier-, en métaux communs, n.d.a.</v>
      </c>
      <c r="C4931">
        <v>41128508</v>
      </c>
      <c r="D4931">
        <v>19748</v>
      </c>
    </row>
    <row r="4932" spans="1:4" x14ac:dyDescent="0.25">
      <c r="A4932" t="str">
        <f>T("   820560")</f>
        <v xml:space="preserve">   820560</v>
      </c>
      <c r="B4932" t="str">
        <f>T("   Lampes à souder et simil. (sauf appareils à souder fonctionnant au gaz)")</f>
        <v xml:space="preserve">   Lampes à souder et simil. (sauf appareils à souder fonctionnant au gaz)</v>
      </c>
      <c r="C4932">
        <v>609977</v>
      </c>
      <c r="D4932">
        <v>1597</v>
      </c>
    </row>
    <row r="4933" spans="1:4" x14ac:dyDescent="0.25">
      <c r="A4933" t="str">
        <f>T("   820570")</f>
        <v xml:space="preserve">   820570</v>
      </c>
      <c r="B4933" t="str">
        <f>T("   Etaux, serre-joints et simil. (autres que ceux constituant des accessoires ou des parties de machines-outils)")</f>
        <v xml:space="preserve">   Etaux, serre-joints et simil. (autres que ceux constituant des accessoires ou des parties de machines-outils)</v>
      </c>
      <c r="C4933">
        <v>1974394</v>
      </c>
      <c r="D4933">
        <v>1958</v>
      </c>
    </row>
    <row r="4934" spans="1:4" x14ac:dyDescent="0.25">
      <c r="A4934" t="str">
        <f>T("   820580")</f>
        <v xml:space="preserve">   820580</v>
      </c>
      <c r="B4934" t="str">
        <f>T("   Enclumes; forges portatives; meules avec bâtis, à main ou à pédale")</f>
        <v xml:space="preserve">   Enclumes; forges portatives; meules avec bâtis, à main ou à pédale</v>
      </c>
      <c r="C4934">
        <v>1509364</v>
      </c>
      <c r="D4934">
        <v>40</v>
      </c>
    </row>
    <row r="4935" spans="1:4" x14ac:dyDescent="0.25">
      <c r="A4935" t="str">
        <f>T("   820590")</f>
        <v xml:space="preserve">   820590</v>
      </c>
      <c r="B4935" t="str">
        <f>T("   Assortiments d'outils d'au moins deux des sous-positions du n° 8205")</f>
        <v xml:space="preserve">   Assortiments d'outils d'au moins deux des sous-positions du n° 8205</v>
      </c>
      <c r="C4935">
        <v>5190971</v>
      </c>
      <c r="D4935">
        <v>1580.32</v>
      </c>
    </row>
    <row r="4936" spans="1:4" x14ac:dyDescent="0.25">
      <c r="A4936" t="str">
        <f>T("   820600")</f>
        <v xml:space="preserve">   820600</v>
      </c>
      <c r="B4936" t="str">
        <f>T("   Outils d'au moins deux du n° 8202 à 8205, conditionnés en assortiments pour la vente au détail")</f>
        <v xml:space="preserve">   Outils d'au moins deux du n° 8202 à 8205, conditionnés en assortiments pour la vente au détail</v>
      </c>
      <c r="C4936">
        <v>27822859</v>
      </c>
      <c r="D4936">
        <v>6573</v>
      </c>
    </row>
    <row r="4937" spans="1:4" x14ac:dyDescent="0.25">
      <c r="A4937" t="str">
        <f>T("   820720")</f>
        <v xml:space="preserve">   820720</v>
      </c>
      <c r="B4937" t="str">
        <f>T("   Filières interchangeables pour l'étirage ou le filage -extrusion- des métaux")</f>
        <v xml:space="preserve">   Filières interchangeables pour l'étirage ou le filage -extrusion- des métaux</v>
      </c>
      <c r="C4937">
        <v>9105761</v>
      </c>
      <c r="D4937">
        <v>123</v>
      </c>
    </row>
    <row r="4938" spans="1:4" x14ac:dyDescent="0.25">
      <c r="A4938" t="str">
        <f>T("   820730")</f>
        <v xml:space="preserve">   820730</v>
      </c>
      <c r="B4938" t="str">
        <f>T("   Outils interchangeables à emboutir, à estamper ou à poinçonner")</f>
        <v xml:space="preserve">   Outils interchangeables à emboutir, à estamper ou à poinçonner</v>
      </c>
      <c r="C4938">
        <v>182625</v>
      </c>
      <c r="D4938">
        <v>151</v>
      </c>
    </row>
    <row r="4939" spans="1:4" x14ac:dyDescent="0.25">
      <c r="A4939" t="str">
        <f>T("   820750")</f>
        <v xml:space="preserve">   820750</v>
      </c>
      <c r="B4939" t="str">
        <f>T("   OUTILS INTERCHANGEABLES À PERCER (À L'EXCL. DES OUTILS DE FORAGE OU DE SONDAGE ET DES OUTILS À TARAUDER) [01/01/1988-31/12/1993: OUTILS INTERCHANGEABLES (SAUF OUTILS DE FORAGE OU DE SONDAGE ET SAUF OUTILS A TARAUDER OU A FILETER)]")</f>
        <v xml:space="preserve">   OUTILS INTERCHANGEABLES À PERCER (À L'EXCL. DES OUTILS DE FORAGE OU DE SONDAGE ET DES OUTILS À TARAUDER) [01/01/1988-31/12/1993: OUTILS INTERCHANGEABLES (SAUF OUTILS DE FORAGE OU DE SONDAGE ET SAUF OUTILS A TARAUDER OU A FILETER)]</v>
      </c>
      <c r="C4939">
        <v>9772808</v>
      </c>
      <c r="D4939">
        <v>825</v>
      </c>
    </row>
    <row r="4940" spans="1:4" x14ac:dyDescent="0.25">
      <c r="A4940" t="str">
        <f>T("   820780")</f>
        <v xml:space="preserve">   820780</v>
      </c>
      <c r="B4940" t="str">
        <f>T("   Outils interchangeables à tourner")</f>
        <v xml:space="preserve">   Outils interchangeables à tourner</v>
      </c>
      <c r="C4940">
        <v>2565673</v>
      </c>
      <c r="D4940">
        <v>167</v>
      </c>
    </row>
    <row r="4941" spans="1:4" x14ac:dyDescent="0.25">
      <c r="A4941" t="str">
        <f>T("   820790")</f>
        <v xml:space="preserve">   820790</v>
      </c>
      <c r="B4941" t="str">
        <f>T("   Outils interchangeables pour outillage à main, mécanique ou non, ou pour machines-outils, n.d.a.")</f>
        <v xml:space="preserve">   Outils interchangeables pour outillage à main, mécanique ou non, ou pour machines-outils, n.d.a.</v>
      </c>
      <c r="C4941">
        <v>27108832</v>
      </c>
      <c r="D4941">
        <v>4935</v>
      </c>
    </row>
    <row r="4942" spans="1:4" x14ac:dyDescent="0.25">
      <c r="A4942" t="str">
        <f>T("   820810")</f>
        <v xml:space="preserve">   820810</v>
      </c>
      <c r="B4942" t="str">
        <f>T("   Couteaux et lames tranchantes, en métaux communs, pour machines ou pour appareils mécaniques, pour le travail des métaux")</f>
        <v xml:space="preserve">   Couteaux et lames tranchantes, en métaux communs, pour machines ou pour appareils mécaniques, pour le travail des métaux</v>
      </c>
      <c r="C4942">
        <v>2198122</v>
      </c>
      <c r="D4942">
        <v>83</v>
      </c>
    </row>
    <row r="4943" spans="1:4" x14ac:dyDescent="0.25">
      <c r="A4943" t="str">
        <f>T("   820840")</f>
        <v xml:space="preserve">   820840</v>
      </c>
      <c r="B4943" t="str">
        <f>T("   Couteaux et lames tranchantes, en métaux communs, pour machines agricoles, horticoles ou forestières (sauf pour le travail du bois)")</f>
        <v xml:space="preserve">   Couteaux et lames tranchantes, en métaux communs, pour machines agricoles, horticoles ou forestières (sauf pour le travail du bois)</v>
      </c>
      <c r="C4943">
        <v>171436</v>
      </c>
      <c r="D4943">
        <v>5</v>
      </c>
    </row>
    <row r="4944" spans="1:4" x14ac:dyDescent="0.25">
      <c r="A4944" t="str">
        <f>T("   820890")</f>
        <v xml:space="preserve">   820890</v>
      </c>
      <c r="B4944" t="s">
        <v>371</v>
      </c>
      <c r="C4944">
        <v>1576062</v>
      </c>
      <c r="D4944">
        <v>69</v>
      </c>
    </row>
    <row r="4945" spans="1:4" x14ac:dyDescent="0.25">
      <c r="A4945" t="str">
        <f>T("   820900")</f>
        <v xml:space="preserve">   820900</v>
      </c>
      <c r="B4945" t="str">
        <f>T("   PLAQUETTES, BAGUETTES, POINTES ET OBJETS SIMIL. POUR OUTILS, NON-MONTÉS, CONSTITUÉS PAR DES CARBURES MÉTALLIQUES FRITTÉS OU DES CERMETS")</f>
        <v xml:space="preserve">   PLAQUETTES, BAGUETTES, POINTES ET OBJETS SIMIL. POUR OUTILS, NON-MONTÉS, CONSTITUÉS PAR DES CARBURES MÉTALLIQUES FRITTÉS OU DES CERMETS</v>
      </c>
      <c r="C4945">
        <v>1559892</v>
      </c>
      <c r="D4945">
        <v>183.5</v>
      </c>
    </row>
    <row r="4946" spans="1:4" x14ac:dyDescent="0.25">
      <c r="A4946" t="str">
        <f>T("   821000")</f>
        <v xml:space="preserve">   821000</v>
      </c>
      <c r="B4946" t="s">
        <v>372</v>
      </c>
      <c r="C4946">
        <v>2987900</v>
      </c>
      <c r="D4946">
        <v>303</v>
      </c>
    </row>
    <row r="4947" spans="1:4" x14ac:dyDescent="0.25">
      <c r="A4947" t="str">
        <f>T("   821191")</f>
        <v xml:space="preserve">   821191</v>
      </c>
      <c r="B4947" t="str">
        <f>T("   Couteaux de table à lame fixe, en métaux communs, y.c. les manches (sauf couteaux à beurre et couteaux à poisson)")</f>
        <v xml:space="preserve">   Couteaux de table à lame fixe, en métaux communs, y.c. les manches (sauf couteaux à beurre et couteaux à poisson)</v>
      </c>
      <c r="C4947">
        <v>3245689</v>
      </c>
      <c r="D4947">
        <v>2743</v>
      </c>
    </row>
    <row r="4948" spans="1:4" x14ac:dyDescent="0.25">
      <c r="A4948" t="str">
        <f>T("   821193")</f>
        <v xml:space="preserve">   821193</v>
      </c>
      <c r="B4948" t="str">
        <f>T("   Couteaux à lame non fixe, y.c. les serpettes fermantes, en métaux communs (sauf rasoirs à lame)")</f>
        <v xml:space="preserve">   Couteaux à lame non fixe, y.c. les serpettes fermantes, en métaux communs (sauf rasoirs à lame)</v>
      </c>
      <c r="C4948">
        <v>41325</v>
      </c>
      <c r="D4948">
        <v>19</v>
      </c>
    </row>
    <row r="4949" spans="1:4" x14ac:dyDescent="0.25">
      <c r="A4949" t="str">
        <f>T("   821210")</f>
        <v xml:space="preserve">   821210</v>
      </c>
      <c r="B4949" t="str">
        <f>T("   Rasoirs et rasoirs de sûreté non-électriques, en métaux communs")</f>
        <v xml:space="preserve">   Rasoirs et rasoirs de sûreté non-électriques, en métaux communs</v>
      </c>
      <c r="C4949">
        <v>8497468</v>
      </c>
      <c r="D4949">
        <v>1157</v>
      </c>
    </row>
    <row r="4950" spans="1:4" x14ac:dyDescent="0.25">
      <c r="A4950" t="str">
        <f>T("   821300")</f>
        <v xml:space="preserve">   821300</v>
      </c>
      <c r="B4950" t="str">
        <f>T("   Ciseaux à doubles branches et leurs lames, en métaux communs (sauf taille-haies, cisailles et articles simil. actionnés des deux mains, sécateurs et articles simil. actionnés d'une main et sauf ciseaux spéciaux de maréchal-ferrant)")</f>
        <v xml:space="preserve">   Ciseaux à doubles branches et leurs lames, en métaux communs (sauf taille-haies, cisailles et articles simil. actionnés des deux mains, sécateurs et articles simil. actionnés d'une main et sauf ciseaux spéciaux de maréchal-ferrant)</v>
      </c>
      <c r="C4950">
        <v>401840</v>
      </c>
      <c r="D4950">
        <v>25.6</v>
      </c>
    </row>
    <row r="4951" spans="1:4" x14ac:dyDescent="0.25">
      <c r="A4951" t="str">
        <f>T("   821410")</f>
        <v xml:space="preserve">   821410</v>
      </c>
      <c r="B4951" t="str">
        <f>T("   Coupe-papier, ouvre-lettres, grattoirs, taille-crayons et leurs lames, en métaux communs (sauf machines, appareils et instruments à usage similaire du chapitre 84)")</f>
        <v xml:space="preserve">   Coupe-papier, ouvre-lettres, grattoirs, taille-crayons et leurs lames, en métaux communs (sauf machines, appareils et instruments à usage similaire du chapitre 84)</v>
      </c>
      <c r="C4951">
        <v>964498</v>
      </c>
      <c r="D4951">
        <v>1225</v>
      </c>
    </row>
    <row r="4952" spans="1:4" x14ac:dyDescent="0.25">
      <c r="A4952" t="str">
        <f>T("   821420")</f>
        <v xml:space="preserve">   821420</v>
      </c>
      <c r="B4952" t="str">
        <f>T("   Outils et assortiments d'outils de manucure ou de pédicure, y.c. -les limes à ongles-, en métaux communs (sauf ciseaux ordinaires)")</f>
        <v xml:space="preserve">   Outils et assortiments d'outils de manucure ou de pédicure, y.c. -les limes à ongles-, en métaux communs (sauf ciseaux ordinaires)</v>
      </c>
      <c r="C4952">
        <v>8257788</v>
      </c>
      <c r="D4952">
        <v>893</v>
      </c>
    </row>
    <row r="4953" spans="1:4" x14ac:dyDescent="0.25">
      <c r="A4953" t="str">
        <f>T("   821490")</f>
        <v xml:space="preserve">   821490</v>
      </c>
      <c r="B4953" t="str">
        <f>T("   Tondeuses de coiffeur et autres articles à couper, n.d.a., en métaux communs")</f>
        <v xml:space="preserve">   Tondeuses de coiffeur et autres articles à couper, n.d.a., en métaux communs</v>
      </c>
      <c r="C4953">
        <v>24271</v>
      </c>
      <c r="D4953">
        <v>42</v>
      </c>
    </row>
    <row r="4954" spans="1:4" x14ac:dyDescent="0.25">
      <c r="A4954" t="str">
        <f>T("   821520")</f>
        <v xml:space="preserve">   821520</v>
      </c>
      <c r="B4954" t="str">
        <f>T("   ASSORTIMENTS COMPOSÉS D'UN OU PLUSIEURS COUTEAUX DU N° 8211 ET D'UN NOMBRE AU MOINS ÉGAL DE CUILLERS, FOURCHETTES OU AUTRES ARTICLES DU N° N° 8215, EN MÉTAUX COMMUNS, NE COMPRENANT AUCUNE PARTIE ARGENTÉE, DORÉE OU PLATINÉE")</f>
        <v xml:space="preserve">   ASSORTIMENTS COMPOSÉS D'UN OU PLUSIEURS COUTEAUX DU N° 8211 ET D'UN NOMBRE AU MOINS ÉGAL DE CUILLERS, FOURCHETTES OU AUTRES ARTICLES DU N° N° 8215, EN MÉTAUX COMMUNS, NE COMPRENANT AUCUNE PARTIE ARGENTÉE, DORÉE OU PLATINÉE</v>
      </c>
      <c r="C4954">
        <v>3388945</v>
      </c>
      <c r="D4954">
        <v>1358</v>
      </c>
    </row>
    <row r="4955" spans="1:4" x14ac:dyDescent="0.25">
      <c r="A4955" t="str">
        <f>T("   821599")</f>
        <v xml:space="preserve">   821599</v>
      </c>
      <c r="B4955" t="s">
        <v>374</v>
      </c>
      <c r="C4955">
        <v>3533282</v>
      </c>
      <c r="D4955">
        <v>687</v>
      </c>
    </row>
    <row r="4956" spans="1:4" x14ac:dyDescent="0.25">
      <c r="A4956" t="str">
        <f>T("   830110")</f>
        <v xml:space="preserve">   830110</v>
      </c>
      <c r="B4956" t="str">
        <f>T("   Cadenas, en métaux communs")</f>
        <v xml:space="preserve">   Cadenas, en métaux communs</v>
      </c>
      <c r="C4956">
        <v>66706512</v>
      </c>
      <c r="D4956">
        <v>6945</v>
      </c>
    </row>
    <row r="4957" spans="1:4" x14ac:dyDescent="0.25">
      <c r="A4957" t="str">
        <f>T("   830120")</f>
        <v xml:space="preserve">   830120</v>
      </c>
      <c r="B4957" t="str">
        <f>T("   Serrures des types utilisés pour véhicules automobiles, en métaux communs")</f>
        <v xml:space="preserve">   Serrures des types utilisés pour véhicules automobiles, en métaux communs</v>
      </c>
      <c r="C4957">
        <v>4942245</v>
      </c>
      <c r="D4957">
        <v>108</v>
      </c>
    </row>
    <row r="4958" spans="1:4" x14ac:dyDescent="0.25">
      <c r="A4958" t="str">
        <f>T("   830130")</f>
        <v xml:space="preserve">   830130</v>
      </c>
      <c r="B4958" t="str">
        <f>T("   Serrures des types utilisés pour meubles, en métaux communs")</f>
        <v xml:space="preserve">   Serrures des types utilisés pour meubles, en métaux communs</v>
      </c>
      <c r="C4958">
        <v>740579</v>
      </c>
      <c r="D4958">
        <v>300</v>
      </c>
    </row>
    <row r="4959" spans="1:4" x14ac:dyDescent="0.25">
      <c r="A4959" t="str">
        <f>T("   830140")</f>
        <v xml:space="preserve">   830140</v>
      </c>
      <c r="B4959" t="str">
        <f>T("   Serrures et verrous, en métaux communs (autres que cadenas et serrures des types utilisés pour véhicules automobiles ou meubles)")</f>
        <v xml:space="preserve">   Serrures et verrous, en métaux communs (autres que cadenas et serrures des types utilisés pour véhicules automobiles ou meubles)</v>
      </c>
      <c r="C4959">
        <v>91211969</v>
      </c>
      <c r="D4959">
        <v>13214</v>
      </c>
    </row>
    <row r="4960" spans="1:4" x14ac:dyDescent="0.25">
      <c r="A4960" t="str">
        <f>T("   830160")</f>
        <v xml:space="preserve">   830160</v>
      </c>
      <c r="B4960" t="str">
        <f>T("   Parties des cadenas, serrures et verrous, ainsi que des fermoirs et montures-fermoirs, avec serrure, en métaux communs, n.d.a.")</f>
        <v xml:space="preserve">   Parties des cadenas, serrures et verrous, ainsi que des fermoirs et montures-fermoirs, avec serrure, en métaux communs, n.d.a.</v>
      </c>
      <c r="C4960">
        <v>75881453</v>
      </c>
      <c r="D4960">
        <v>5515</v>
      </c>
    </row>
    <row r="4961" spans="1:4" x14ac:dyDescent="0.25">
      <c r="A4961" t="str">
        <f>T("   830170")</f>
        <v xml:space="preserve">   830170</v>
      </c>
      <c r="B4961" t="str">
        <f>T("   Clefs présentées isolément, pour cadenas, serrures et verrous, ainsi que pour fermoirs et montures-fermoirs avec serrure, en métaux communs")</f>
        <v xml:space="preserve">   Clefs présentées isolément, pour cadenas, serrures et verrous, ainsi que pour fermoirs et montures-fermoirs avec serrure, en métaux communs</v>
      </c>
      <c r="C4961">
        <v>851436</v>
      </c>
      <c r="D4961">
        <v>44</v>
      </c>
    </row>
    <row r="4962" spans="1:4" x14ac:dyDescent="0.25">
      <c r="A4962" t="str">
        <f>T("   830210")</f>
        <v xml:space="preserve">   830210</v>
      </c>
      <c r="B4962" t="str">
        <f>T("   Charnières de tous genres, y.c. les paumelles et pentures, en métaux communs")</f>
        <v xml:space="preserve">   Charnières de tous genres, y.c. les paumelles et pentures, en métaux communs</v>
      </c>
      <c r="C4962">
        <v>12139909</v>
      </c>
      <c r="D4962">
        <v>1969</v>
      </c>
    </row>
    <row r="4963" spans="1:4" x14ac:dyDescent="0.25">
      <c r="A4963" t="str">
        <f>T("   830220")</f>
        <v xml:space="preserve">   830220</v>
      </c>
      <c r="B4963" t="str">
        <f>T("   Roulettes avec monture en métaux communs")</f>
        <v xml:space="preserve">   Roulettes avec monture en métaux communs</v>
      </c>
      <c r="C4963">
        <v>6395321</v>
      </c>
      <c r="D4963">
        <v>859</v>
      </c>
    </row>
    <row r="4964" spans="1:4" x14ac:dyDescent="0.25">
      <c r="A4964" t="str">
        <f>T("   830230")</f>
        <v xml:space="preserve">   830230</v>
      </c>
      <c r="B4964" t="str">
        <f>T("   Garnitures, ferrures et simil. en métaux communs, pour véhicules automobiles (sauf charnières et serrures)")</f>
        <v xml:space="preserve">   Garnitures, ferrures et simil. en métaux communs, pour véhicules automobiles (sauf charnières et serrures)</v>
      </c>
      <c r="C4964">
        <v>565575</v>
      </c>
      <c r="D4964">
        <v>10</v>
      </c>
    </row>
    <row r="4965" spans="1:4" x14ac:dyDescent="0.25">
      <c r="A4965" t="str">
        <f>T("   830241")</f>
        <v xml:space="preserve">   830241</v>
      </c>
      <c r="B4965" t="str">
        <f>T("   Garnitures, ferrures et simil., pour bâtiments, en métaux communs (sauf serrures et verrous de sûreté à clef et sauf charnières)")</f>
        <v xml:space="preserve">   Garnitures, ferrures et simil., pour bâtiments, en métaux communs (sauf serrures et verrous de sûreté à clef et sauf charnières)</v>
      </c>
      <c r="C4965">
        <v>36918467</v>
      </c>
      <c r="D4965">
        <v>2568</v>
      </c>
    </row>
    <row r="4966" spans="1:4" x14ac:dyDescent="0.25">
      <c r="A4966" t="str">
        <f>T("   830242")</f>
        <v xml:space="preserve">   830242</v>
      </c>
      <c r="B4966" t="str">
        <f>T("   GARNITURES, FERRURES ET SIMIL., POUR MEUBLES, EN MÉTAUX COMMUNS (SAUF SERRURES ET VERROUS DE S¹RETÉ À CLEF ET SAUF CHARNIÈRES ET ROULETTES)")</f>
        <v xml:space="preserve">   GARNITURES, FERRURES ET SIMIL., POUR MEUBLES, EN MÉTAUX COMMUNS (SAUF SERRURES ET VERROUS DE S¹RETÉ À CLEF ET SAUF CHARNIÈRES ET ROULETTES)</v>
      </c>
      <c r="C4966">
        <v>11358558</v>
      </c>
      <c r="D4966">
        <v>1809</v>
      </c>
    </row>
    <row r="4967" spans="1:4" x14ac:dyDescent="0.25">
      <c r="A4967" t="str">
        <f>T("   830249")</f>
        <v xml:space="preserve">   830249</v>
      </c>
      <c r="B4967" t="s">
        <v>375</v>
      </c>
      <c r="C4967">
        <v>434658</v>
      </c>
      <c r="D4967">
        <v>235</v>
      </c>
    </row>
    <row r="4968" spans="1:4" x14ac:dyDescent="0.25">
      <c r="A4968" t="str">
        <f>T("   830250")</f>
        <v xml:space="preserve">   830250</v>
      </c>
      <c r="B4968" t="str">
        <f>T("   Patères, porte-chapeaux, supports et articles simil. en métaux communs")</f>
        <v xml:space="preserve">   Patères, porte-chapeaux, supports et articles simil. en métaux communs</v>
      </c>
      <c r="C4968">
        <v>951142</v>
      </c>
      <c r="D4968">
        <v>186</v>
      </c>
    </row>
    <row r="4969" spans="1:4" x14ac:dyDescent="0.25">
      <c r="A4969" t="str">
        <f>T("   830260")</f>
        <v xml:space="preserve">   830260</v>
      </c>
      <c r="B4969" t="str">
        <f>T("   Ferme-portes automatiques en métaux communs")</f>
        <v xml:space="preserve">   Ferme-portes automatiques en métaux communs</v>
      </c>
      <c r="C4969">
        <v>1397852</v>
      </c>
      <c r="D4969">
        <v>122</v>
      </c>
    </row>
    <row r="4970" spans="1:4" x14ac:dyDescent="0.25">
      <c r="A4970" t="str">
        <f>T("   830300")</f>
        <v xml:space="preserve">   830300</v>
      </c>
      <c r="B4970" t="str">
        <f>T("   Coffres-forts, portes blindées et compartiments pour chambres fortes, coffres et cassettes de sûreté et articles simil., en métaux communs")</f>
        <v xml:space="preserve">   Coffres-forts, portes blindées et compartiments pour chambres fortes, coffres et cassettes de sûreté et articles simil., en métaux communs</v>
      </c>
      <c r="C4970">
        <v>35066820</v>
      </c>
      <c r="D4970">
        <v>12502</v>
      </c>
    </row>
    <row r="4971" spans="1:4" x14ac:dyDescent="0.25">
      <c r="A4971" t="str">
        <f>T("   830520")</f>
        <v xml:space="preserve">   830520</v>
      </c>
      <c r="B4971" t="str">
        <f>T("   Agrafes présentées en barrettes, en métaux communs")</f>
        <v xml:space="preserve">   Agrafes présentées en barrettes, en métaux communs</v>
      </c>
      <c r="C4971">
        <v>2543177</v>
      </c>
      <c r="D4971">
        <v>471</v>
      </c>
    </row>
    <row r="4972" spans="1:4" x14ac:dyDescent="0.25">
      <c r="A4972" t="str">
        <f>T("   830590")</f>
        <v xml:space="preserve">   830590</v>
      </c>
      <c r="B4972" t="s">
        <v>376</v>
      </c>
      <c r="C4972">
        <v>3633594</v>
      </c>
      <c r="D4972">
        <v>12363</v>
      </c>
    </row>
    <row r="4973" spans="1:4" x14ac:dyDescent="0.25">
      <c r="A4973" t="str">
        <f>T("   830610")</f>
        <v xml:space="preserve">   830610</v>
      </c>
      <c r="B4973" t="str">
        <f>T("   Cloches, sonnettes, gongs et articles simil. non-électriques, en métaux communs (sauf instruments de musique)")</f>
        <v xml:space="preserve">   Cloches, sonnettes, gongs et articles simil. non-électriques, en métaux communs (sauf instruments de musique)</v>
      </c>
      <c r="C4973">
        <v>661864</v>
      </c>
      <c r="D4973">
        <v>160</v>
      </c>
    </row>
    <row r="4974" spans="1:4" x14ac:dyDescent="0.25">
      <c r="A4974" t="str">
        <f>T("   830710")</f>
        <v xml:space="preserve">   830710</v>
      </c>
      <c r="B4974" t="str">
        <f>T("   Tuyaux flexibles en fer ou en acier, même avec accessoires")</f>
        <v xml:space="preserve">   Tuyaux flexibles en fer ou en acier, même avec accessoires</v>
      </c>
      <c r="C4974">
        <v>19993917</v>
      </c>
      <c r="D4974">
        <v>1825</v>
      </c>
    </row>
    <row r="4975" spans="1:4" x14ac:dyDescent="0.25">
      <c r="A4975" t="str">
        <f>T("   830790")</f>
        <v xml:space="preserve">   830790</v>
      </c>
      <c r="B4975" t="str">
        <f>T("   Tuyaux flexibles en métaux communs autres que le fer ou l'acier, même avec accessoires")</f>
        <v xml:space="preserve">   Tuyaux flexibles en métaux communs autres que le fer ou l'acier, même avec accessoires</v>
      </c>
      <c r="C4975">
        <v>3450869</v>
      </c>
      <c r="D4975">
        <v>381</v>
      </c>
    </row>
    <row r="4976" spans="1:4" x14ac:dyDescent="0.25">
      <c r="A4976" t="str">
        <f>T("   830810")</f>
        <v xml:space="preserve">   830810</v>
      </c>
      <c r="B4976" t="str">
        <f>T("   Agrafes, crochets et oeillets, en métaux communs, pour vêtements, chaussures, bâches, maroquinerie, ou pour toutes confections ou équipements")</f>
        <v xml:space="preserve">   Agrafes, crochets et oeillets, en métaux communs, pour vêtements, chaussures, bâches, maroquinerie, ou pour toutes confections ou équipements</v>
      </c>
      <c r="C4976">
        <v>76091</v>
      </c>
      <c r="D4976">
        <v>68</v>
      </c>
    </row>
    <row r="4977" spans="1:4" x14ac:dyDescent="0.25">
      <c r="A4977" t="str">
        <f>T("   830890")</f>
        <v xml:space="preserve">   830890</v>
      </c>
      <c r="B4977" t="s">
        <v>377</v>
      </c>
      <c r="C4977">
        <v>570685</v>
      </c>
      <c r="D4977">
        <v>2000</v>
      </c>
    </row>
    <row r="4978" spans="1:4" x14ac:dyDescent="0.25">
      <c r="A4978" t="str">
        <f>T("   830910")</f>
        <v xml:space="preserve">   830910</v>
      </c>
      <c r="B4978" t="str">
        <f>T("   Bouchons-couronnes en métaux communs")</f>
        <v xml:space="preserve">   Bouchons-couronnes en métaux communs</v>
      </c>
      <c r="C4978">
        <v>407523029</v>
      </c>
      <c r="D4978">
        <v>207041</v>
      </c>
    </row>
    <row r="4979" spans="1:4" x14ac:dyDescent="0.25">
      <c r="A4979" t="str">
        <f>T("   830990")</f>
        <v xml:space="preserve">   830990</v>
      </c>
      <c r="B4979" t="str">
        <f>T("   Bouchons [y.c. les bouchons à pas de vis et les bouchons-verseurs], couvercles, capsules pour bouteilles, bondes filetées, plaques de bondes, scellés et autres accessoires d'emballage, en métaux communs (à l'excl. des bouchons-couronnes)")</f>
        <v xml:space="preserve">   Bouchons [y.c. les bouchons à pas de vis et les bouchons-verseurs], couvercles, capsules pour bouteilles, bondes filetées, plaques de bondes, scellés et autres accessoires d'emballage, en métaux communs (à l'excl. des bouchons-couronnes)</v>
      </c>
      <c r="C4979">
        <v>4459970</v>
      </c>
      <c r="D4979">
        <v>12316</v>
      </c>
    </row>
    <row r="4980" spans="1:4" x14ac:dyDescent="0.25">
      <c r="A4980" t="str">
        <f>T("   831000")</f>
        <v xml:space="preserve">   831000</v>
      </c>
      <c r="B4980" t="s">
        <v>378</v>
      </c>
      <c r="C4980">
        <v>55507984</v>
      </c>
      <c r="D4980">
        <v>7767</v>
      </c>
    </row>
    <row r="4981" spans="1:4" x14ac:dyDescent="0.25">
      <c r="A4981" t="str">
        <f>T("   831110")</f>
        <v xml:space="preserve">   831110</v>
      </c>
      <c r="B4981" t="str">
        <f>T("   ÉLECTRODES ENROBÉES EN MÉTAUX COMMUNS, POUR LE SOUDAGE À L'ARC")</f>
        <v xml:space="preserve">   ÉLECTRODES ENROBÉES EN MÉTAUX COMMUNS, POUR LE SOUDAGE À L'ARC</v>
      </c>
      <c r="C4981">
        <v>22880307</v>
      </c>
      <c r="D4981">
        <v>29681</v>
      </c>
    </row>
    <row r="4982" spans="1:4" x14ac:dyDescent="0.25">
      <c r="A4982" t="str">
        <f>T("   831130")</f>
        <v xml:space="preserve">   831130</v>
      </c>
      <c r="B4982" t="s">
        <v>379</v>
      </c>
      <c r="C4982">
        <v>2798956</v>
      </c>
      <c r="D4982">
        <v>4583</v>
      </c>
    </row>
    <row r="4983" spans="1:4" x14ac:dyDescent="0.25">
      <c r="A4983" t="str">
        <f>T("   831190")</f>
        <v xml:space="preserve">   831190</v>
      </c>
      <c r="B4983" t="s">
        <v>380</v>
      </c>
      <c r="C4983">
        <v>30206251</v>
      </c>
      <c r="D4983">
        <v>6605</v>
      </c>
    </row>
    <row r="4984" spans="1:4" x14ac:dyDescent="0.25">
      <c r="A4984" t="str">
        <f>T("   840290")</f>
        <v xml:space="preserve">   840290</v>
      </c>
      <c r="B4984" t="str">
        <f>T("   Parties de chaudières à vapeur et de chaudières dites -à eau surchauffée-, n.d.a.")</f>
        <v xml:space="preserve">   Parties de chaudières à vapeur et de chaudières dites -à eau surchauffée-, n.d.a.</v>
      </c>
      <c r="C4984">
        <v>28945548</v>
      </c>
      <c r="D4984">
        <v>764</v>
      </c>
    </row>
    <row r="4985" spans="1:4" x14ac:dyDescent="0.25">
      <c r="A4985" t="str">
        <f>T("   840590")</f>
        <v xml:space="preserve">   840590</v>
      </c>
      <c r="B4985" t="str">
        <f>T("   Parties des générateurs de gaz à l'air ou de gaz à l'eau et des générateurs d'acétylène ou des générateurs simil. de gaz par procédé à l'eau, n.d.a.")</f>
        <v xml:space="preserve">   Parties des générateurs de gaz à l'air ou de gaz à l'eau et des générateurs d'acétylène ou des générateurs simil. de gaz par procédé à l'eau, n.d.a.</v>
      </c>
      <c r="C4985">
        <v>2794390</v>
      </c>
      <c r="D4985">
        <v>134</v>
      </c>
    </row>
    <row r="4986" spans="1:4" x14ac:dyDescent="0.25">
      <c r="A4986" t="str">
        <f>T("   840721")</f>
        <v xml:space="preserve">   840721</v>
      </c>
      <c r="B4986" t="s">
        <v>382</v>
      </c>
      <c r="C4986">
        <v>6459239</v>
      </c>
      <c r="D4986">
        <v>632</v>
      </c>
    </row>
    <row r="4987" spans="1:4" x14ac:dyDescent="0.25">
      <c r="A4987" t="str">
        <f>T("   840733")</f>
        <v xml:space="preserve">   840733</v>
      </c>
      <c r="B4987" t="s">
        <v>385</v>
      </c>
      <c r="C4987">
        <v>300430</v>
      </c>
      <c r="D4987">
        <v>150</v>
      </c>
    </row>
    <row r="4988" spans="1:4" x14ac:dyDescent="0.25">
      <c r="A4988" t="str">
        <f>T("   840790")</f>
        <v xml:space="preserve">   840790</v>
      </c>
      <c r="B4988" t="s">
        <v>387</v>
      </c>
      <c r="C4988">
        <v>8148337</v>
      </c>
      <c r="D4988">
        <v>9210</v>
      </c>
    </row>
    <row r="4989" spans="1:4" x14ac:dyDescent="0.25">
      <c r="A4989" t="str">
        <f>T("   840820")</f>
        <v xml:space="preserve">   840820</v>
      </c>
      <c r="B4989" t="s">
        <v>388</v>
      </c>
      <c r="C4989">
        <v>200068</v>
      </c>
      <c r="D4989">
        <v>730</v>
      </c>
    </row>
    <row r="4990" spans="1:4" x14ac:dyDescent="0.25">
      <c r="A4990" t="str">
        <f>T("   840890")</f>
        <v xml:space="preserve">   840890</v>
      </c>
      <c r="B4990" t="s">
        <v>389</v>
      </c>
      <c r="C4990">
        <v>45835536</v>
      </c>
      <c r="D4990">
        <v>41917</v>
      </c>
    </row>
    <row r="4991" spans="1:4" x14ac:dyDescent="0.25">
      <c r="A4991" t="str">
        <f>T("   840991")</f>
        <v xml:space="preserve">   840991</v>
      </c>
      <c r="B4991" t="str">
        <f>T("   Parties reconnaissables comme étant exclusivement ou principalement destinées aux moteurs à piston à allumage par étincelles, n.d.a.")</f>
        <v xml:space="preserve">   Parties reconnaissables comme étant exclusivement ou principalement destinées aux moteurs à piston à allumage par étincelles, n.d.a.</v>
      </c>
      <c r="C4991">
        <v>4994276</v>
      </c>
      <c r="D4991">
        <v>283</v>
      </c>
    </row>
    <row r="4992" spans="1:4" x14ac:dyDescent="0.25">
      <c r="A4992" t="str">
        <f>T("   840999")</f>
        <v xml:space="preserve">   840999</v>
      </c>
      <c r="B4992" t="str">
        <f>T("   Parties reconnaissables comme étant exclusivement ou principalement destinées aux moteurs à piston à allumage par compression, n.d.a.")</f>
        <v xml:space="preserve">   Parties reconnaissables comme étant exclusivement ou principalement destinées aux moteurs à piston à allumage par compression, n.d.a.</v>
      </c>
      <c r="C4992">
        <v>122024213</v>
      </c>
      <c r="D4992">
        <v>9729.0499999999993</v>
      </c>
    </row>
    <row r="4993" spans="1:4" x14ac:dyDescent="0.25">
      <c r="A4993" t="str">
        <f>T("   841229")</f>
        <v xml:space="preserve">   841229</v>
      </c>
      <c r="B4993" t="str">
        <f>T("   Moteurs hydrauliques (autres que turbines hydrauliques ou roues hydrauliques du n° 8410, turbines à vapeur et moteurs hydrauliques, à mouvement rectiligne -cylindres-)")</f>
        <v xml:space="preserve">   Moteurs hydrauliques (autres que turbines hydrauliques ou roues hydrauliques du n° 8410, turbines à vapeur et moteurs hydrauliques, à mouvement rectiligne -cylindres-)</v>
      </c>
      <c r="C4993">
        <v>13546566</v>
      </c>
      <c r="D4993">
        <v>428</v>
      </c>
    </row>
    <row r="4994" spans="1:4" x14ac:dyDescent="0.25">
      <c r="A4994" t="str">
        <f>T("   841239")</f>
        <v xml:space="preserve">   841239</v>
      </c>
      <c r="B4994" t="str">
        <f>T("   Moteurs pneumatiques (sauf moteurs pneumatiques à mouvement rectiligne -cylindres-)")</f>
        <v xml:space="preserve">   Moteurs pneumatiques (sauf moteurs pneumatiques à mouvement rectiligne -cylindres-)</v>
      </c>
      <c r="C4994">
        <v>1480000</v>
      </c>
      <c r="D4994">
        <v>400</v>
      </c>
    </row>
    <row r="4995" spans="1:4" x14ac:dyDescent="0.25">
      <c r="A4995" t="str">
        <f>T("   841280")</f>
        <v xml:space="preserve">   841280</v>
      </c>
      <c r="B4995" t="str">
        <f>T("   Moteurs et machines motrices (à l'excl. des turbines à vapeur, moteurs à piston, turbines hydrauliques, roues hydrauliques, turbines à gaz, moteurs à réaction, moteurs hydrauliques et oléohydrauliques, moteurs pneumatiques et sauf moteurs électriques)")</f>
        <v xml:space="preserve">   Moteurs et machines motrices (à l'excl. des turbines à vapeur, moteurs à piston, turbines hydrauliques, roues hydrauliques, turbines à gaz, moteurs à réaction, moteurs hydrauliques et oléohydrauliques, moteurs pneumatiques et sauf moteurs électriques)</v>
      </c>
      <c r="C4995">
        <v>1924000</v>
      </c>
      <c r="D4995">
        <v>1300</v>
      </c>
    </row>
    <row r="4996" spans="1:4" x14ac:dyDescent="0.25">
      <c r="A4996" t="str">
        <f>T("   841290")</f>
        <v xml:space="preserve">   841290</v>
      </c>
      <c r="B4996" t="str">
        <f>T("   PARTIES DE MOTEURS ET MACHINES MOTRICES NON-ÉLECTRIQUES, N.D.A.")</f>
        <v xml:space="preserve">   PARTIES DE MOTEURS ET MACHINES MOTRICES NON-ÉLECTRIQUES, N.D.A.</v>
      </c>
      <c r="C4996">
        <v>712373</v>
      </c>
      <c r="D4996">
        <v>151</v>
      </c>
    </row>
    <row r="4997" spans="1:4" x14ac:dyDescent="0.25">
      <c r="A4997" t="str">
        <f>T("   841311")</f>
        <v xml:space="preserve">   841311</v>
      </c>
      <c r="B4997" t="str">
        <f>T("   Pompes pour distribution, comportant un dispositif mesureur de liquide ou conçues pour en comporter pour carburants ou lubrifiants, des types utilisés dans les stations-service ou les garages")</f>
        <v xml:space="preserve">   Pompes pour distribution, comportant un dispositif mesureur de liquide ou conçues pour en comporter pour carburants ou lubrifiants, des types utilisés dans les stations-service ou les garages</v>
      </c>
      <c r="C4997">
        <v>143585759</v>
      </c>
      <c r="D4997">
        <v>18295</v>
      </c>
    </row>
    <row r="4998" spans="1:4" x14ac:dyDescent="0.25">
      <c r="A4998" t="str">
        <f>T("   841319")</f>
        <v xml:space="preserve">   841319</v>
      </c>
      <c r="B4998" t="str">
        <f>T("   Pompes pour liquides, avec dispositif mesureur ou conçues pour en comporter (sauf pompes pour la distribution de carburants ou lubrifiants, des types utilisés dans les stations-service ou les garages)")</f>
        <v xml:space="preserve">   Pompes pour liquides, avec dispositif mesureur ou conçues pour en comporter (sauf pompes pour la distribution de carburants ou lubrifiants, des types utilisés dans les stations-service ou les garages)</v>
      </c>
      <c r="C4998">
        <v>5599301</v>
      </c>
      <c r="D4998">
        <v>126</v>
      </c>
    </row>
    <row r="4999" spans="1:4" x14ac:dyDescent="0.25">
      <c r="A4999" t="str">
        <f>T("   841330")</f>
        <v xml:space="preserve">   841330</v>
      </c>
      <c r="B4999" t="str">
        <f>T("   Pompes à carburant, à huile ou à liquide de refroidissement pour moteurs à allumage par étincelles ou par compression")</f>
        <v xml:space="preserve">   Pompes à carburant, à huile ou à liquide de refroidissement pour moteurs à allumage par étincelles ou par compression</v>
      </c>
      <c r="C4999">
        <v>45001821</v>
      </c>
      <c r="D4999">
        <v>893.5</v>
      </c>
    </row>
    <row r="5000" spans="1:4" x14ac:dyDescent="0.25">
      <c r="A5000" t="str">
        <f>T("   841350")</f>
        <v xml:space="preserve">   841350</v>
      </c>
      <c r="B5000" t="s">
        <v>390</v>
      </c>
      <c r="C5000">
        <v>61319571</v>
      </c>
      <c r="D5000">
        <v>2718</v>
      </c>
    </row>
    <row r="5001" spans="1:4" x14ac:dyDescent="0.25">
      <c r="A5001" t="str">
        <f>T("   841360")</f>
        <v xml:space="preserve">   841360</v>
      </c>
      <c r="B5001" t="s">
        <v>391</v>
      </c>
      <c r="C5001">
        <v>10508833</v>
      </c>
      <c r="D5001">
        <v>110</v>
      </c>
    </row>
    <row r="5002" spans="1:4" x14ac:dyDescent="0.25">
      <c r="A5002" t="str">
        <f>T("   841370")</f>
        <v xml:space="preserve">   841370</v>
      </c>
      <c r="B5002" t="s">
        <v>392</v>
      </c>
      <c r="C5002">
        <v>44800490</v>
      </c>
      <c r="D5002">
        <v>2479</v>
      </c>
    </row>
    <row r="5003" spans="1:4" x14ac:dyDescent="0.25">
      <c r="A5003" t="str">
        <f>T("   841381")</f>
        <v xml:space="preserve">   841381</v>
      </c>
      <c r="B5003" t="s">
        <v>393</v>
      </c>
      <c r="C5003">
        <v>61346621</v>
      </c>
      <c r="D5003">
        <v>11555.8</v>
      </c>
    </row>
    <row r="5004" spans="1:4" x14ac:dyDescent="0.25">
      <c r="A5004" t="str">
        <f>T("   841382")</f>
        <v xml:space="preserve">   841382</v>
      </c>
      <c r="B5004" t="str">
        <f>T("   Elévateurs à liquides (à l'excl. des pompes)")</f>
        <v xml:space="preserve">   Elévateurs à liquides (à l'excl. des pompes)</v>
      </c>
      <c r="C5004">
        <v>12321512</v>
      </c>
      <c r="D5004">
        <v>502</v>
      </c>
    </row>
    <row r="5005" spans="1:4" x14ac:dyDescent="0.25">
      <c r="A5005" t="str">
        <f>T("   841391")</f>
        <v xml:space="preserve">   841391</v>
      </c>
      <c r="B5005" t="str">
        <f>T("   Parties de pompes pour liquides, n.d.a.")</f>
        <v xml:space="preserve">   Parties de pompes pour liquides, n.d.a.</v>
      </c>
      <c r="C5005">
        <v>36850211</v>
      </c>
      <c r="D5005">
        <v>6316</v>
      </c>
    </row>
    <row r="5006" spans="1:4" x14ac:dyDescent="0.25">
      <c r="A5006" t="str">
        <f>T("   841392")</f>
        <v xml:space="preserve">   841392</v>
      </c>
      <c r="B5006" t="str">
        <f>T("   Parties d'élévateurs à liquides, n.d.a.")</f>
        <v xml:space="preserve">   Parties d'élévateurs à liquides, n.d.a.</v>
      </c>
      <c r="C5006">
        <v>2571961</v>
      </c>
      <c r="D5006">
        <v>100</v>
      </c>
    </row>
    <row r="5007" spans="1:4" x14ac:dyDescent="0.25">
      <c r="A5007" t="str">
        <f>T("   841420")</f>
        <v xml:space="preserve">   841420</v>
      </c>
      <c r="B5007" t="str">
        <f>T("   Pompes à air, à main ou à pied")</f>
        <v xml:space="preserve">   Pompes à air, à main ou à pied</v>
      </c>
      <c r="C5007">
        <v>33282161</v>
      </c>
      <c r="D5007">
        <v>1652</v>
      </c>
    </row>
    <row r="5008" spans="1:4" x14ac:dyDescent="0.25">
      <c r="A5008" t="str">
        <f>T("   841430")</f>
        <v xml:space="preserve">   841430</v>
      </c>
      <c r="B5008" t="str">
        <f>T("   Compresseurs des types utilisés pour équipements frigorifiques")</f>
        <v xml:space="preserve">   Compresseurs des types utilisés pour équipements frigorifiques</v>
      </c>
      <c r="C5008">
        <v>25215117</v>
      </c>
      <c r="D5008">
        <v>3210</v>
      </c>
    </row>
    <row r="5009" spans="1:4" x14ac:dyDescent="0.25">
      <c r="A5009" t="str">
        <f>T("   841440")</f>
        <v xml:space="preserve">   841440</v>
      </c>
      <c r="B5009" t="str">
        <f>T("   Compresseurs d'air montés sur châssis à roues et remorquables")</f>
        <v xml:space="preserve">   Compresseurs d'air montés sur châssis à roues et remorquables</v>
      </c>
      <c r="C5009">
        <v>58662780</v>
      </c>
      <c r="D5009">
        <v>5810</v>
      </c>
    </row>
    <row r="5010" spans="1:4" x14ac:dyDescent="0.25">
      <c r="A5010" t="str">
        <f>T("   841451")</f>
        <v xml:space="preserve">   841451</v>
      </c>
      <c r="B5010" t="str">
        <f>T("   Ventilateurs de table, de sol, muraux, plafonniers, de toitures ou de fenêtres, à moteur électrique incorporé, d'une puissance &lt;= 125 W")</f>
        <v xml:space="preserve">   Ventilateurs de table, de sol, muraux, plafonniers, de toitures ou de fenêtres, à moteur électrique incorporé, d'une puissance &lt;= 125 W</v>
      </c>
      <c r="C5010">
        <v>7872</v>
      </c>
      <c r="D5010">
        <v>10</v>
      </c>
    </row>
    <row r="5011" spans="1:4" x14ac:dyDescent="0.25">
      <c r="A5011" t="str">
        <f>T("   841459")</f>
        <v xml:space="preserve">   841459</v>
      </c>
      <c r="B5011" t="str">
        <f>T("   Ventilateurs (sauf ventilateurs de table, de sol, muraux, plafonniers, de toitures ou de fenêtres, à moteur électrique incorporé, d'une puissance &lt;= 125 W)")</f>
        <v xml:space="preserve">   Ventilateurs (sauf ventilateurs de table, de sol, muraux, plafonniers, de toitures ou de fenêtres, à moteur électrique incorporé, d'une puissance &lt;= 125 W)</v>
      </c>
      <c r="C5011">
        <v>15536654</v>
      </c>
      <c r="D5011">
        <v>3152</v>
      </c>
    </row>
    <row r="5012" spans="1:4" x14ac:dyDescent="0.25">
      <c r="A5012" t="str">
        <f>T("   841460")</f>
        <v xml:space="preserve">   841460</v>
      </c>
      <c r="B5012" t="str">
        <f>T("   Hottes aspirantes à extraction ou à recyclage par filtre, à ventilateur incorporé, plus grand côté horizontal &lt;= 120 cm")</f>
        <v xml:space="preserve">   Hottes aspirantes à extraction ou à recyclage par filtre, à ventilateur incorporé, plus grand côté horizontal &lt;= 120 cm</v>
      </c>
      <c r="C5012">
        <v>6225880</v>
      </c>
      <c r="D5012">
        <v>150</v>
      </c>
    </row>
    <row r="5013" spans="1:4" x14ac:dyDescent="0.25">
      <c r="A5013" t="str">
        <f>T("   841480")</f>
        <v xml:space="preserve">   841480</v>
      </c>
      <c r="B5013" t="s">
        <v>394</v>
      </c>
      <c r="C5013">
        <v>113386183</v>
      </c>
      <c r="D5013">
        <v>15963.5</v>
      </c>
    </row>
    <row r="5014" spans="1:4" x14ac:dyDescent="0.25">
      <c r="A5014" t="str">
        <f>T("   841490")</f>
        <v xml:space="preserve">   841490</v>
      </c>
      <c r="B5014" t="str">
        <f>T("   Parties de pompes à air ou à vide, de compresseurs d'air ou d'autres gaz et de ventilateurs, de hottes aspirantes à extraction ou à recyclage, à ventilateur incorporé, n.d.a.")</f>
        <v xml:space="preserve">   Parties de pompes à air ou à vide, de compresseurs d'air ou d'autres gaz et de ventilateurs, de hottes aspirantes à extraction ou à recyclage, à ventilateur incorporé, n.d.a.</v>
      </c>
      <c r="C5014">
        <v>68975540</v>
      </c>
      <c r="D5014">
        <v>22699</v>
      </c>
    </row>
    <row r="5015" spans="1:4" x14ac:dyDescent="0.25">
      <c r="A5015" t="str">
        <f>T("   841510")</f>
        <v xml:space="preserve">   841510</v>
      </c>
      <c r="B5015" t="s">
        <v>395</v>
      </c>
      <c r="C5015">
        <v>107637641</v>
      </c>
      <c r="D5015">
        <v>29640</v>
      </c>
    </row>
    <row r="5016" spans="1:4" x14ac:dyDescent="0.25">
      <c r="A5016" t="str">
        <f>T("   841581")</f>
        <v xml:space="preserve">   841581</v>
      </c>
      <c r="B5016" t="s">
        <v>396</v>
      </c>
      <c r="C5016">
        <v>13476699</v>
      </c>
      <c r="D5016">
        <v>1310</v>
      </c>
    </row>
    <row r="5017" spans="1:4" x14ac:dyDescent="0.25">
      <c r="A5017" t="str">
        <f>T("   841582")</f>
        <v xml:space="preserve">   841582</v>
      </c>
      <c r="B5017" t="s">
        <v>397</v>
      </c>
      <c r="C5017">
        <v>44884319</v>
      </c>
      <c r="D5017">
        <v>23328</v>
      </c>
    </row>
    <row r="5018" spans="1:4" x14ac:dyDescent="0.25">
      <c r="A5018" t="str">
        <f>T("   841583")</f>
        <v xml:space="preserve">   841583</v>
      </c>
      <c r="B5018" t="s">
        <v>398</v>
      </c>
      <c r="C5018">
        <v>1572992</v>
      </c>
      <c r="D5018">
        <v>135</v>
      </c>
    </row>
    <row r="5019" spans="1:4" x14ac:dyDescent="0.25">
      <c r="A5019" t="str">
        <f>T("   841590")</f>
        <v xml:space="preserve">   841590</v>
      </c>
      <c r="B5019" t="str">
        <f>T("   Parties de machines et appareils pour le conditionnement de l'air comprenant un ventilateur à moteur et des dispositifs propres à modifier la température et l'humidité de l'air, n.d.a.")</f>
        <v xml:space="preserve">   Parties de machines et appareils pour le conditionnement de l'air comprenant un ventilateur à moteur et des dispositifs propres à modifier la température et l'humidité de l'air, n.d.a.</v>
      </c>
      <c r="C5019">
        <v>87798277</v>
      </c>
      <c r="D5019">
        <v>21890</v>
      </c>
    </row>
    <row r="5020" spans="1:4" x14ac:dyDescent="0.25">
      <c r="A5020" t="str">
        <f>T("   841690")</f>
        <v xml:space="preserve">   841690</v>
      </c>
      <c r="B5020" t="str">
        <f>T("   PARTIES DE BR¹LEURS POUR L'ALIMENTATION DES FOYERS ET DES FOYERS AUTOMATIQUES, DE LEURS AVANT-FOYERS, GRILLES MÉCANIQUES, DISPOSITIFS MÉCANIQUES POUR L'ÉVACUATION DES CENDRES ET DISPOSITIFS SIMIL., N.D.A.")</f>
        <v xml:space="preserve">   PARTIES DE BR¹LEURS POUR L'ALIMENTATION DES FOYERS ET DES FOYERS AUTOMATIQUES, DE LEURS AVANT-FOYERS, GRILLES MÉCANIQUES, DISPOSITIFS MÉCANIQUES POUR L'ÉVACUATION DES CENDRES ET DISPOSITIFS SIMIL., N.D.A.</v>
      </c>
      <c r="C5020">
        <v>4791801</v>
      </c>
      <c r="D5020">
        <v>55</v>
      </c>
    </row>
    <row r="5021" spans="1:4" x14ac:dyDescent="0.25">
      <c r="A5021" t="str">
        <f>T("   841720")</f>
        <v xml:space="preserve">   841720</v>
      </c>
      <c r="B5021" t="str">
        <f>T("   Fours non-électriques, de boulangerie, de pâtisserie ou de biscuiterie")</f>
        <v xml:space="preserve">   Fours non-électriques, de boulangerie, de pâtisserie ou de biscuiterie</v>
      </c>
      <c r="C5021">
        <v>6856381</v>
      </c>
      <c r="D5021">
        <v>21150</v>
      </c>
    </row>
    <row r="5022" spans="1:4" x14ac:dyDescent="0.25">
      <c r="A5022" t="str">
        <f>T("   841780")</f>
        <v xml:space="preserve">   841780</v>
      </c>
      <c r="B5022" t="s">
        <v>399</v>
      </c>
      <c r="C5022">
        <v>628930</v>
      </c>
      <c r="D5022">
        <v>1708</v>
      </c>
    </row>
    <row r="5023" spans="1:4" x14ac:dyDescent="0.25">
      <c r="A5023" t="str">
        <f>T("   841790")</f>
        <v xml:space="preserve">   841790</v>
      </c>
      <c r="B5023" t="str">
        <f>T("   Parties de fours industriels ou de laboratoire non-électriques, y.c. d'incinérateurs, n.d.a.")</f>
        <v xml:space="preserve">   Parties de fours industriels ou de laboratoire non-électriques, y.c. d'incinérateurs, n.d.a.</v>
      </c>
      <c r="C5023">
        <v>8761030</v>
      </c>
      <c r="D5023">
        <v>523</v>
      </c>
    </row>
    <row r="5024" spans="1:4" x14ac:dyDescent="0.25">
      <c r="A5024" t="str">
        <f>T("   841810")</f>
        <v xml:space="preserve">   841810</v>
      </c>
      <c r="B5024" t="str">
        <f>T("   Réfrigérateurs et congélateurs-conservateurs combinés, avec portes extérieures séparées")</f>
        <v xml:space="preserve">   Réfrigérateurs et congélateurs-conservateurs combinés, avec portes extérieures séparées</v>
      </c>
      <c r="C5024">
        <v>83367445</v>
      </c>
      <c r="D5024">
        <v>135158</v>
      </c>
    </row>
    <row r="5025" spans="1:4" x14ac:dyDescent="0.25">
      <c r="A5025" t="str">
        <f>T("   841821")</f>
        <v xml:space="preserve">   841821</v>
      </c>
      <c r="B5025" t="str">
        <f>T("   Réfrigérateurs ménagers à compression")</f>
        <v xml:space="preserve">   Réfrigérateurs ménagers à compression</v>
      </c>
      <c r="C5025">
        <v>12461115</v>
      </c>
      <c r="D5025">
        <v>33816.480000000003</v>
      </c>
    </row>
    <row r="5026" spans="1:4" x14ac:dyDescent="0.25">
      <c r="A5026" t="str">
        <f>T("   841822")</f>
        <v xml:space="preserve">   841822</v>
      </c>
      <c r="B5026" t="str">
        <f>T("   Réfrigérateurs ménagers à absorption, électriques")</f>
        <v xml:space="preserve">   Réfrigérateurs ménagers à absorption, électriques</v>
      </c>
      <c r="C5026">
        <v>1548187</v>
      </c>
      <c r="D5026">
        <v>2156</v>
      </c>
    </row>
    <row r="5027" spans="1:4" x14ac:dyDescent="0.25">
      <c r="A5027" t="str">
        <f>T("   841829")</f>
        <v xml:space="preserve">   841829</v>
      </c>
      <c r="B5027" t="str">
        <f>T("   Réfrigérateurs ménagers à absorption, non-électriques")</f>
        <v xml:space="preserve">   Réfrigérateurs ménagers à absorption, non-électriques</v>
      </c>
      <c r="C5027">
        <v>76632663</v>
      </c>
      <c r="D5027">
        <v>78761</v>
      </c>
    </row>
    <row r="5028" spans="1:4" x14ac:dyDescent="0.25">
      <c r="A5028" t="str">
        <f>T("   841830")</f>
        <v xml:space="preserve">   841830</v>
      </c>
      <c r="B5028" t="str">
        <f>T("   Meubles congélateurs-conservateurs du type coffre, capacité &lt;= 800 l")</f>
        <v xml:space="preserve">   Meubles congélateurs-conservateurs du type coffre, capacité &lt;= 800 l</v>
      </c>
      <c r="C5028">
        <v>2789142</v>
      </c>
      <c r="D5028">
        <v>582</v>
      </c>
    </row>
    <row r="5029" spans="1:4" x14ac:dyDescent="0.25">
      <c r="A5029" t="str">
        <f>T("   841840")</f>
        <v xml:space="preserve">   841840</v>
      </c>
      <c r="B5029" t="str">
        <f>T("   Meubles congélateurs-conservateurs du type armoire, capacité &lt;= 900 l")</f>
        <v xml:space="preserve">   Meubles congélateurs-conservateurs du type armoire, capacité &lt;= 900 l</v>
      </c>
      <c r="C5029">
        <v>840088</v>
      </c>
      <c r="D5029">
        <v>548</v>
      </c>
    </row>
    <row r="5030" spans="1:4" x14ac:dyDescent="0.25">
      <c r="A5030" t="str">
        <f>T("   841850")</f>
        <v xml:space="preserve">   841850</v>
      </c>
      <c r="B5030" t="s">
        <v>400</v>
      </c>
      <c r="C5030">
        <v>4678380</v>
      </c>
      <c r="D5030">
        <v>597</v>
      </c>
    </row>
    <row r="5031" spans="1:4" x14ac:dyDescent="0.25">
      <c r="A5031" t="str">
        <f>T("   841861")</f>
        <v xml:space="preserve">   841861</v>
      </c>
      <c r="B5031" t="str">
        <f>T("   Groupes à compression pour la production du froid, dont le condenseur est constitué par un échangeur de chaleur")</f>
        <v xml:space="preserve">   Groupes à compression pour la production du froid, dont le condenseur est constitué par un échangeur de chaleur</v>
      </c>
      <c r="C5031">
        <v>922831</v>
      </c>
      <c r="D5031">
        <v>50</v>
      </c>
    </row>
    <row r="5032" spans="1:4" x14ac:dyDescent="0.25">
      <c r="A5032" t="str">
        <f>T("   841869")</f>
        <v xml:space="preserve">   841869</v>
      </c>
      <c r="B5032" t="str">
        <f>T("   Matériel, machines et appareils pour la production du froid ainsi que pompes à chaleur à absorption (autres que réfrigérateurs et meubles congélateurs-conservateurs)")</f>
        <v xml:space="preserve">   Matériel, machines et appareils pour la production du froid ainsi que pompes à chaleur à absorption (autres que réfrigérateurs et meubles congélateurs-conservateurs)</v>
      </c>
      <c r="C5032">
        <v>119386726</v>
      </c>
      <c r="D5032">
        <v>99294</v>
      </c>
    </row>
    <row r="5033" spans="1:4" x14ac:dyDescent="0.25">
      <c r="A5033" t="str">
        <f>T("   841891")</f>
        <v xml:space="preserve">   841891</v>
      </c>
      <c r="B5033" t="str">
        <f>T("   Meubles conçus pour recevoir un équipement pour la production du froid")</f>
        <v xml:space="preserve">   Meubles conçus pour recevoir un équipement pour la production du froid</v>
      </c>
      <c r="C5033">
        <v>1120966</v>
      </c>
      <c r="D5033">
        <v>65</v>
      </c>
    </row>
    <row r="5034" spans="1:4" x14ac:dyDescent="0.25">
      <c r="A5034" t="str">
        <f>T("   841899")</f>
        <v xml:space="preserve">   841899</v>
      </c>
      <c r="B5034" t="str">
        <f>T("   Parties de réfrigérateurs et de congélateurs-conservateurs du type armoire et du type coffre et d'autres matériel, machines et appareils pour la production du froid, parties de pompes à chaleur, n.d.a.")</f>
        <v xml:space="preserve">   Parties de réfrigérateurs et de congélateurs-conservateurs du type armoire et du type coffre et d'autres matériel, machines et appareils pour la production du froid, parties de pompes à chaleur, n.d.a.</v>
      </c>
      <c r="C5034">
        <v>69328710</v>
      </c>
      <c r="D5034">
        <v>26855.200000000001</v>
      </c>
    </row>
    <row r="5035" spans="1:4" x14ac:dyDescent="0.25">
      <c r="A5035" t="str">
        <f>T("   841920")</f>
        <v xml:space="preserve">   841920</v>
      </c>
      <c r="B5035" t="str">
        <f>T("   Stérilisateurs médico-chirurgicaux ou de laboratoire")</f>
        <v xml:space="preserve">   Stérilisateurs médico-chirurgicaux ou de laboratoire</v>
      </c>
      <c r="C5035">
        <v>8215547</v>
      </c>
      <c r="D5035">
        <v>740</v>
      </c>
    </row>
    <row r="5036" spans="1:4" x14ac:dyDescent="0.25">
      <c r="A5036" t="str">
        <f>T("   841950")</f>
        <v xml:space="preserve">   841950</v>
      </c>
      <c r="B5036" t="str">
        <f>T("   Echangeurs de chaleur (à l'excl. des chauffe-eau à chauffage instantané ou à accumulation, des chaudières de chauffage central et des appareils dans lesquels l'échange thermique ne s'effectue pas à travers une paroi)")</f>
        <v xml:space="preserve">   Echangeurs de chaleur (à l'excl. des chauffe-eau à chauffage instantané ou à accumulation, des chaudières de chauffage central et des appareils dans lesquels l'échange thermique ne s'effectue pas à travers une paroi)</v>
      </c>
      <c r="C5036">
        <v>15999750</v>
      </c>
      <c r="D5036">
        <v>597</v>
      </c>
    </row>
    <row r="5037" spans="1:4" x14ac:dyDescent="0.25">
      <c r="A5037" t="str">
        <f>T("   841989")</f>
        <v xml:space="preserve">   841989</v>
      </c>
      <c r="B5037" t="s">
        <v>401</v>
      </c>
      <c r="C5037">
        <v>82471967</v>
      </c>
      <c r="D5037">
        <v>4299</v>
      </c>
    </row>
    <row r="5038" spans="1:4" x14ac:dyDescent="0.25">
      <c r="A5038" t="str">
        <f>T("   841990")</f>
        <v xml:space="preserve">   841990</v>
      </c>
      <c r="B5038" t="str">
        <f>T("   Parties d'appareils et dispositifs, même chauffés électriquement, pour le traitement de matières par des opérations impliquant un changement de température, ainsi que de chauffe-eau non-électriques à chauffage instantané ou à accumulation, n.d.a.")</f>
        <v xml:space="preserve">   Parties d'appareils et dispositifs, même chauffés électriquement, pour le traitement de matières par des opérations impliquant un changement de température, ainsi que de chauffe-eau non-électriques à chauffage instantané ou à accumulation, n.d.a.</v>
      </c>
      <c r="C5038">
        <v>29223019</v>
      </c>
      <c r="D5038">
        <v>4024</v>
      </c>
    </row>
    <row r="5039" spans="1:4" x14ac:dyDescent="0.25">
      <c r="A5039" t="str">
        <f>T("   842099")</f>
        <v xml:space="preserve">   842099</v>
      </c>
      <c r="B5039" t="str">
        <f>T("   Parties de calandres et laminoirs (autres que pour les métaux ou le verre et autres que les cylindres), n.d.a.")</f>
        <v xml:space="preserve">   Parties de calandres et laminoirs (autres que pour les métaux ou le verre et autres que les cylindres), n.d.a.</v>
      </c>
      <c r="C5039">
        <v>2768000</v>
      </c>
      <c r="D5039">
        <v>800</v>
      </c>
    </row>
    <row r="5040" spans="1:4" x14ac:dyDescent="0.25">
      <c r="A5040" t="str">
        <f>T("   842119")</f>
        <v xml:space="preserve">   842119</v>
      </c>
      <c r="B5040" t="str">
        <f>T("   Centrifugeuses, y.c. les essoreuses centrifuges (autres que pour la séparation isotopique et sauf écrémeuses et essoreuses à linge)")</f>
        <v xml:space="preserve">   Centrifugeuses, y.c. les essoreuses centrifuges (autres que pour la séparation isotopique et sauf écrémeuses et essoreuses à linge)</v>
      </c>
      <c r="C5040">
        <v>78501357</v>
      </c>
      <c r="D5040">
        <v>6191</v>
      </c>
    </row>
    <row r="5041" spans="1:4" x14ac:dyDescent="0.25">
      <c r="A5041" t="str">
        <f>T("   842121")</f>
        <v xml:space="preserve">   842121</v>
      </c>
      <c r="B5041" t="str">
        <f>T("   Appareils pour la filtration ou l'épuration des eaux")</f>
        <v xml:space="preserve">   Appareils pour la filtration ou l'épuration des eaux</v>
      </c>
      <c r="C5041">
        <v>50118126</v>
      </c>
      <c r="D5041">
        <v>5512</v>
      </c>
    </row>
    <row r="5042" spans="1:4" x14ac:dyDescent="0.25">
      <c r="A5042" t="str">
        <f>T("   842123")</f>
        <v xml:space="preserve">   842123</v>
      </c>
      <c r="B5042" t="str">
        <f>T("   Appareils pour la filtration des huiles minérales et carburants pour les moteurs à allumage par étincelles ou par compression")</f>
        <v xml:space="preserve">   Appareils pour la filtration des huiles minérales et carburants pour les moteurs à allumage par étincelles ou par compression</v>
      </c>
      <c r="C5042">
        <v>147326771</v>
      </c>
      <c r="D5042">
        <v>21475.43</v>
      </c>
    </row>
    <row r="5043" spans="1:4" x14ac:dyDescent="0.25">
      <c r="A5043" t="str">
        <f>T("   842129")</f>
        <v xml:space="preserve">   842129</v>
      </c>
      <c r="B5043" t="str">
        <f>T("   Appareils pour la filtration ou l'épuration des liquides (à l'excl. de l'eau ou des boissons, des huiles minérales et carburants pour les moteurs à allumage par étincelles ou par compression ainsi que les reins artificiels)")</f>
        <v xml:space="preserve">   Appareils pour la filtration ou l'épuration des liquides (à l'excl. de l'eau ou des boissons, des huiles minérales et carburants pour les moteurs à allumage par étincelles ou par compression ainsi que les reins artificiels)</v>
      </c>
      <c r="C5043">
        <v>57536199</v>
      </c>
      <c r="D5043">
        <v>6726</v>
      </c>
    </row>
    <row r="5044" spans="1:4" x14ac:dyDescent="0.25">
      <c r="A5044" t="str">
        <f>T("   842131")</f>
        <v xml:space="preserve">   842131</v>
      </c>
      <c r="B5044" t="str">
        <f>T("   Filtres d'entrée d'air pour moteurs à allumage par étincelles ou par compression")</f>
        <v xml:space="preserve">   Filtres d'entrée d'air pour moteurs à allumage par étincelles ou par compression</v>
      </c>
      <c r="C5044">
        <v>39909197</v>
      </c>
      <c r="D5044">
        <v>5068</v>
      </c>
    </row>
    <row r="5045" spans="1:4" x14ac:dyDescent="0.25">
      <c r="A5045" t="str">
        <f>T("   842139")</f>
        <v xml:space="preserve">   842139</v>
      </c>
      <c r="B5045" t="str">
        <f>T("   Appareils pour la filtration ou l'épuration des gaz (autres que pour la séparation isotopique et sauf les filtres d'entrée d'air pour moteurs à allumage par étincelles ou par compression)")</f>
        <v xml:space="preserve">   Appareils pour la filtration ou l'épuration des gaz (autres que pour la séparation isotopique et sauf les filtres d'entrée d'air pour moteurs à allumage par étincelles ou par compression)</v>
      </c>
      <c r="C5045">
        <v>66972316</v>
      </c>
      <c r="D5045">
        <v>3733</v>
      </c>
    </row>
    <row r="5046" spans="1:4" x14ac:dyDescent="0.25">
      <c r="A5046" t="str">
        <f>T("   842191")</f>
        <v xml:space="preserve">   842191</v>
      </c>
      <c r="B5046" t="str">
        <f>T("   Parties de centrifugeuses, y.c. d'essoreuses centrifuges, n.d.a.")</f>
        <v xml:space="preserve">   Parties de centrifugeuses, y.c. d'essoreuses centrifuges, n.d.a.</v>
      </c>
      <c r="C5046">
        <v>7040497</v>
      </c>
      <c r="D5046">
        <v>177</v>
      </c>
    </row>
    <row r="5047" spans="1:4" x14ac:dyDescent="0.25">
      <c r="A5047" t="str">
        <f>T("   842199")</f>
        <v xml:space="preserve">   842199</v>
      </c>
      <c r="B5047" t="str">
        <f>T("   Parties d'appareils pour la filtration ou l'épuration des liquides ou des gaz, n.d.a.")</f>
        <v xml:space="preserve">   Parties d'appareils pour la filtration ou l'épuration des liquides ou des gaz, n.d.a.</v>
      </c>
      <c r="C5047">
        <v>47236578</v>
      </c>
      <c r="D5047">
        <v>4042.5</v>
      </c>
    </row>
    <row r="5048" spans="1:4" x14ac:dyDescent="0.25">
      <c r="A5048" t="str">
        <f>T("   842219")</f>
        <v xml:space="preserve">   842219</v>
      </c>
      <c r="B5048" t="str">
        <f>T("   Machines à laver la vaisselle (autres que de type ménager)")</f>
        <v xml:space="preserve">   Machines à laver la vaisselle (autres que de type ménager)</v>
      </c>
      <c r="C5048">
        <v>657272</v>
      </c>
      <c r="D5048">
        <v>289</v>
      </c>
    </row>
    <row r="5049" spans="1:4" x14ac:dyDescent="0.25">
      <c r="A5049" t="str">
        <f>T("   842220")</f>
        <v xml:space="preserve">   842220</v>
      </c>
      <c r="B5049" t="str">
        <f>T("   Machines et appareils à nettoyer ou à sécher les bouteilles ou autres récipients (à l'excl. des machines à laver la vaisselle)")</f>
        <v xml:space="preserve">   Machines et appareils à nettoyer ou à sécher les bouteilles ou autres récipients (à l'excl. des machines à laver la vaisselle)</v>
      </c>
      <c r="C5049">
        <v>858613661</v>
      </c>
      <c r="D5049">
        <v>106422</v>
      </c>
    </row>
    <row r="5050" spans="1:4" x14ac:dyDescent="0.25">
      <c r="A5050" t="str">
        <f>T("   842240")</f>
        <v xml:space="preserve">   842240</v>
      </c>
      <c r="B5050" t="s">
        <v>402</v>
      </c>
      <c r="C5050">
        <v>5286412</v>
      </c>
      <c r="D5050">
        <v>469</v>
      </c>
    </row>
    <row r="5051" spans="1:4" x14ac:dyDescent="0.25">
      <c r="A5051" t="str">
        <f>T("   842290")</f>
        <v xml:space="preserve">   842290</v>
      </c>
      <c r="B5051" t="str">
        <f>T("   Parties des machines à laver la vaisselle, des machines à empaqueter ou à emballer les marchandises et autres machines et appareils du n° 8422, n.d.a.")</f>
        <v xml:space="preserve">   Parties des machines à laver la vaisselle, des machines à empaqueter ou à emballer les marchandises et autres machines et appareils du n° 8422, n.d.a.</v>
      </c>
      <c r="C5051">
        <v>660419813</v>
      </c>
      <c r="D5051">
        <v>13647</v>
      </c>
    </row>
    <row r="5052" spans="1:4" x14ac:dyDescent="0.25">
      <c r="A5052" t="str">
        <f>T("   842310")</f>
        <v xml:space="preserve">   842310</v>
      </c>
      <c r="B5052" t="str">
        <f>T("   Pèse-personnes, y.c. les pèse-bébés; balances de ménage")</f>
        <v xml:space="preserve">   Pèse-personnes, y.c. les pèse-bébés; balances de ménage</v>
      </c>
      <c r="C5052">
        <v>3567111</v>
      </c>
      <c r="D5052">
        <v>783</v>
      </c>
    </row>
    <row r="5053" spans="1:4" x14ac:dyDescent="0.25">
      <c r="A5053" t="str">
        <f>T("   842320")</f>
        <v xml:space="preserve">   842320</v>
      </c>
      <c r="B5053" t="str">
        <f>T("   Bascules à pesage continu sur transporteurs")</f>
        <v xml:space="preserve">   Bascules à pesage continu sur transporteurs</v>
      </c>
      <c r="C5053">
        <v>153118</v>
      </c>
      <c r="D5053">
        <v>4</v>
      </c>
    </row>
    <row r="5054" spans="1:4" x14ac:dyDescent="0.25">
      <c r="A5054" t="str">
        <f>T("   842330")</f>
        <v xml:space="preserve">   842330</v>
      </c>
      <c r="B5054" t="str">
        <f>T("   Bascules à pesées constantes et balances et bascules ensacheuses ou doseuses (à l'excl. des balances à pesage continu sur transporteurs)")</f>
        <v xml:space="preserve">   Bascules à pesées constantes et balances et bascules ensacheuses ou doseuses (à l'excl. des balances à pesage continu sur transporteurs)</v>
      </c>
      <c r="C5054">
        <v>555763</v>
      </c>
      <c r="D5054">
        <v>33</v>
      </c>
    </row>
    <row r="5055" spans="1:4" x14ac:dyDescent="0.25">
      <c r="A5055" t="str">
        <f>T("   842381")</f>
        <v xml:space="preserve">   842381</v>
      </c>
      <c r="B5055" t="s">
        <v>403</v>
      </c>
      <c r="C5055">
        <v>23241975</v>
      </c>
      <c r="D5055">
        <v>2351</v>
      </c>
    </row>
    <row r="5056" spans="1:4" x14ac:dyDescent="0.25">
      <c r="A5056" t="str">
        <f>T("   842382")</f>
        <v xml:space="preserve">   842382</v>
      </c>
      <c r="B5056" t="str">
        <f>T("   Appareils et instruments de pesage, portée &gt; 30 kg mais &lt;= 5000 kg (à l'excl. des pèse-personnes, bascules à pesage continu sur transporteurs, bascules à pesées constantes et balances et bascules ensacheuses ou doseuses)")</f>
        <v xml:space="preserve">   Appareils et instruments de pesage, portée &gt; 30 kg mais &lt;= 5000 kg (à l'excl. des pèse-personnes, bascules à pesage continu sur transporteurs, bascules à pesées constantes et balances et bascules ensacheuses ou doseuses)</v>
      </c>
      <c r="C5056">
        <v>4013833</v>
      </c>
      <c r="D5056">
        <v>3413</v>
      </c>
    </row>
    <row r="5057" spans="1:4" x14ac:dyDescent="0.25">
      <c r="A5057" t="str">
        <f>T("   842389")</f>
        <v xml:space="preserve">   842389</v>
      </c>
      <c r="B5057" t="str">
        <f>T("   Appareils et instruments de pesage, portée &gt; 5000 kg")</f>
        <v xml:space="preserve">   Appareils et instruments de pesage, portée &gt; 5000 kg</v>
      </c>
      <c r="C5057">
        <v>2226099</v>
      </c>
      <c r="D5057">
        <v>1316</v>
      </c>
    </row>
    <row r="5058" spans="1:4" x14ac:dyDescent="0.25">
      <c r="A5058" t="str">
        <f>T("   842390")</f>
        <v xml:space="preserve">   842390</v>
      </c>
      <c r="B5058" t="str">
        <f>T("   Poids pour balances de tous genres; parties d'appareils et instruments de pesage, n.d.a.")</f>
        <v xml:space="preserve">   Poids pour balances de tous genres; parties d'appareils et instruments de pesage, n.d.a.</v>
      </c>
      <c r="C5058">
        <v>32550620</v>
      </c>
      <c r="D5058">
        <v>1149.5</v>
      </c>
    </row>
    <row r="5059" spans="1:4" x14ac:dyDescent="0.25">
      <c r="A5059" t="str">
        <f>T("   842410")</f>
        <v xml:space="preserve">   842410</v>
      </c>
      <c r="B5059" t="str">
        <f>T("   Extincteurs mécaniques, même chargés (sauf bombes et grenades d'extinction d'incendie)")</f>
        <v xml:space="preserve">   Extincteurs mécaniques, même chargés (sauf bombes et grenades d'extinction d'incendie)</v>
      </c>
      <c r="C5059">
        <v>15012195</v>
      </c>
      <c r="D5059">
        <v>10196</v>
      </c>
    </row>
    <row r="5060" spans="1:4" x14ac:dyDescent="0.25">
      <c r="A5060" t="str">
        <f>T("   842420")</f>
        <v xml:space="preserve">   842420</v>
      </c>
      <c r="B5060" t="s">
        <v>404</v>
      </c>
      <c r="C5060">
        <v>2858129</v>
      </c>
      <c r="D5060">
        <v>211</v>
      </c>
    </row>
    <row r="5061" spans="1:4" x14ac:dyDescent="0.25">
      <c r="A5061" t="str">
        <f>T("   842430")</f>
        <v xml:space="preserve">   842430</v>
      </c>
      <c r="B5061" t="s">
        <v>405</v>
      </c>
      <c r="C5061">
        <v>18675181</v>
      </c>
      <c r="D5061">
        <v>2625</v>
      </c>
    </row>
    <row r="5062" spans="1:4" x14ac:dyDescent="0.25">
      <c r="A5062" t="str">
        <f>T("   842481")</f>
        <v xml:space="preserve">   842481</v>
      </c>
      <c r="B5062" t="str">
        <f>T("   Machines et appareils mécaniques, même à main, à projeter, disperser ou pulvériser des matières liquides ou en poudre, pour l'agriculture ou l'horticulture")</f>
        <v xml:space="preserve">   Machines et appareils mécaniques, même à main, à projeter, disperser ou pulvériser des matières liquides ou en poudre, pour l'agriculture ou l'horticulture</v>
      </c>
      <c r="C5062">
        <v>6436490</v>
      </c>
      <c r="D5062">
        <v>497</v>
      </c>
    </row>
    <row r="5063" spans="1:4" x14ac:dyDescent="0.25">
      <c r="A5063" t="str">
        <f>T("   842489")</f>
        <v xml:space="preserve">   842489</v>
      </c>
      <c r="B5063" t="str">
        <f>T("   Machines et appareils mécaniques, même à main, à projeter, disperser ou pulvériser des matières liquides ou en poudre, n.d.a.")</f>
        <v xml:space="preserve">   Machines et appareils mécaniques, même à main, à projeter, disperser ou pulvériser des matières liquides ou en poudre, n.d.a.</v>
      </c>
      <c r="C5063">
        <v>277471</v>
      </c>
      <c r="D5063">
        <v>94</v>
      </c>
    </row>
    <row r="5064" spans="1:4" x14ac:dyDescent="0.25">
      <c r="A5064" t="str">
        <f>T("   842490")</f>
        <v xml:space="preserve">   842490</v>
      </c>
      <c r="B5064" t="s">
        <v>406</v>
      </c>
      <c r="C5064">
        <v>16225181</v>
      </c>
      <c r="D5064">
        <v>2209</v>
      </c>
    </row>
    <row r="5065" spans="1:4" x14ac:dyDescent="0.25">
      <c r="A5065" t="str">
        <f>T("   842511")</f>
        <v xml:space="preserve">   842511</v>
      </c>
      <c r="B5065" t="str">
        <f>T("   Palans à moteur électrique")</f>
        <v xml:space="preserve">   Palans à moteur électrique</v>
      </c>
      <c r="C5065">
        <v>64767917</v>
      </c>
      <c r="D5065">
        <v>22610</v>
      </c>
    </row>
    <row r="5066" spans="1:4" x14ac:dyDescent="0.25">
      <c r="A5066" t="str">
        <f>T("   842519")</f>
        <v xml:space="preserve">   842519</v>
      </c>
      <c r="B5066" t="str">
        <f>T("   Palans autres qu'à moteur électrique")</f>
        <v xml:space="preserve">   Palans autres qu'à moteur électrique</v>
      </c>
      <c r="C5066">
        <v>3599908</v>
      </c>
      <c r="D5066">
        <v>1223</v>
      </c>
    </row>
    <row r="5067" spans="1:4" x14ac:dyDescent="0.25">
      <c r="A5067" t="str">
        <f>T("   842531")</f>
        <v xml:space="preserve">   842531</v>
      </c>
      <c r="B5067" t="str">
        <f>T("   Treuils et cabestans, à moteur électrique (sauf treuils pour puits de mines et treuils spécialement conçus pour mines au fond)")</f>
        <v xml:space="preserve">   Treuils et cabestans, à moteur électrique (sauf treuils pour puits de mines et treuils spécialement conçus pour mines au fond)</v>
      </c>
      <c r="C5067">
        <v>11552768</v>
      </c>
      <c r="D5067">
        <v>1767</v>
      </c>
    </row>
    <row r="5068" spans="1:4" x14ac:dyDescent="0.25">
      <c r="A5068" t="str">
        <f>T("   842539")</f>
        <v xml:space="preserve">   842539</v>
      </c>
      <c r="B5068" t="str">
        <f>T("   Treuils et cabestans, autres qu'à moteur électrique (sauf treuils pour puits de mines et sauf treuils spécialement conçus pour mines au fond)")</f>
        <v xml:space="preserve">   Treuils et cabestans, autres qu'à moteur électrique (sauf treuils pour puits de mines et sauf treuils spécialement conçus pour mines au fond)</v>
      </c>
      <c r="C5068">
        <v>20113046</v>
      </c>
      <c r="D5068">
        <v>1464</v>
      </c>
    </row>
    <row r="5069" spans="1:4" x14ac:dyDescent="0.25">
      <c r="A5069" t="str">
        <f>T("   842541")</f>
        <v xml:space="preserve">   842541</v>
      </c>
      <c r="B5069" t="str">
        <f>T("   Elévateurs fixes des types utilisés dans les garages pour voitures")</f>
        <v xml:space="preserve">   Elévateurs fixes des types utilisés dans les garages pour voitures</v>
      </c>
      <c r="C5069">
        <v>10200156</v>
      </c>
      <c r="D5069">
        <v>14200</v>
      </c>
    </row>
    <row r="5070" spans="1:4" x14ac:dyDescent="0.25">
      <c r="A5070" t="str">
        <f>T("   842542")</f>
        <v xml:space="preserve">   842542</v>
      </c>
      <c r="B5070" t="str">
        <f>T("   Crics et vérins, hydrauliques (sauf élévateurs fixes des types utilisés dans les garages pour voitures)")</f>
        <v xml:space="preserve">   Crics et vérins, hydrauliques (sauf élévateurs fixes des types utilisés dans les garages pour voitures)</v>
      </c>
      <c r="C5070">
        <v>32780741</v>
      </c>
      <c r="D5070">
        <v>3033</v>
      </c>
    </row>
    <row r="5071" spans="1:4" x14ac:dyDescent="0.25">
      <c r="A5071" t="str">
        <f>T("   842549")</f>
        <v xml:space="preserve">   842549</v>
      </c>
      <c r="B5071" t="str">
        <f>T("   Crics et vérins, non hydrauliques")</f>
        <v xml:space="preserve">   Crics et vérins, non hydrauliques</v>
      </c>
      <c r="C5071">
        <v>17816544</v>
      </c>
      <c r="D5071">
        <v>5500</v>
      </c>
    </row>
    <row r="5072" spans="1:4" x14ac:dyDescent="0.25">
      <c r="A5072" t="str">
        <f>T("   842620")</f>
        <v xml:space="preserve">   842620</v>
      </c>
      <c r="B5072" t="str">
        <f>T("   Grues à tour")</f>
        <v xml:space="preserve">   Grues à tour</v>
      </c>
      <c r="C5072">
        <v>792080424</v>
      </c>
      <c r="D5072">
        <v>65000</v>
      </c>
    </row>
    <row r="5073" spans="1:4" x14ac:dyDescent="0.25">
      <c r="A5073" t="str">
        <f>T("   842641")</f>
        <v xml:space="preserve">   842641</v>
      </c>
      <c r="B5073" t="str">
        <f>T("   Bigues et chariots-grues et autres machines et appareils autopropulsés, sur pneumatiques (à l'excl. des grues automotrices, portiques mobiles se déplaçant sur pneumatiques et sauf chariots-cavaliers)")</f>
        <v xml:space="preserve">   Bigues et chariots-grues et autres machines et appareils autopropulsés, sur pneumatiques (à l'excl. des grues automotrices, portiques mobiles se déplaçant sur pneumatiques et sauf chariots-cavaliers)</v>
      </c>
      <c r="C5073">
        <v>131180849</v>
      </c>
      <c r="D5073">
        <v>20600</v>
      </c>
    </row>
    <row r="5074" spans="1:4" x14ac:dyDescent="0.25">
      <c r="A5074" t="str">
        <f>T("   842699")</f>
        <v xml:space="preserve">   842699</v>
      </c>
      <c r="B5074" t="s">
        <v>407</v>
      </c>
      <c r="C5074">
        <v>770753</v>
      </c>
      <c r="D5074">
        <v>23</v>
      </c>
    </row>
    <row r="5075" spans="1:4" x14ac:dyDescent="0.25">
      <c r="A5075" t="str">
        <f>T("   842720")</f>
        <v xml:space="preserve">   842720</v>
      </c>
      <c r="B5075" t="str">
        <f>T("   Chariots de manutention autopropulsés, autres qu'à moteur électrique, avec dispositif de levage")</f>
        <v xml:space="preserve">   Chariots de manutention autopropulsés, autres qu'à moteur électrique, avec dispositif de levage</v>
      </c>
      <c r="C5075">
        <v>99278889</v>
      </c>
      <c r="D5075">
        <v>22150</v>
      </c>
    </row>
    <row r="5076" spans="1:4" x14ac:dyDescent="0.25">
      <c r="A5076" t="str">
        <f>T("   842790")</f>
        <v xml:space="preserve">   842790</v>
      </c>
      <c r="B5076" t="str">
        <f>T("   Chariots de manutention munis d'un dispositif de levage mais non autopropulsés")</f>
        <v xml:space="preserve">   Chariots de manutention munis d'un dispositif de levage mais non autopropulsés</v>
      </c>
      <c r="C5076">
        <v>155596408</v>
      </c>
      <c r="D5076">
        <v>31679</v>
      </c>
    </row>
    <row r="5077" spans="1:4" x14ac:dyDescent="0.25">
      <c r="A5077" t="str">
        <f>T("   842810")</f>
        <v xml:space="preserve">   842810</v>
      </c>
      <c r="B5077" t="str">
        <f>T("   Ascenseurs et monte-charge")</f>
        <v xml:space="preserve">   Ascenseurs et monte-charge</v>
      </c>
      <c r="C5077">
        <v>134306608</v>
      </c>
      <c r="D5077">
        <v>34412</v>
      </c>
    </row>
    <row r="5078" spans="1:4" x14ac:dyDescent="0.25">
      <c r="A5078" t="str">
        <f>T("   842820")</f>
        <v xml:space="preserve">   842820</v>
      </c>
      <c r="B5078" t="str">
        <f>T("   Appareils élévateurs ou transporteurs, pneumatiques")</f>
        <v xml:space="preserve">   Appareils élévateurs ou transporteurs, pneumatiques</v>
      </c>
      <c r="C5078">
        <v>459008009</v>
      </c>
      <c r="D5078">
        <v>137100</v>
      </c>
    </row>
    <row r="5079" spans="1:4" x14ac:dyDescent="0.25">
      <c r="A5079" t="str">
        <f>T("   842833")</f>
        <v xml:space="preserve">   842833</v>
      </c>
      <c r="B5079" t="str">
        <f>T("   Appareils élévateurs, transporteurs ou convoyeurs pour marchandises, à action continue, à bande ou à courroie (autres que conçus pour mines au fond et autres travaux souterrains)")</f>
        <v xml:space="preserve">   Appareils élévateurs, transporteurs ou convoyeurs pour marchandises, à action continue, à bande ou à courroie (autres que conçus pour mines au fond et autres travaux souterrains)</v>
      </c>
      <c r="C5079">
        <v>68526856</v>
      </c>
      <c r="D5079">
        <v>4280</v>
      </c>
    </row>
    <row r="5080" spans="1:4" x14ac:dyDescent="0.25">
      <c r="A5080" t="str">
        <f>T("   842839")</f>
        <v xml:space="preserve">   842839</v>
      </c>
      <c r="B5080" t="str">
        <f>T("   Appareils élévateurs, transporteurs ou convoyeurs pour marchandises, à action continue (autres que conçus pour mines au fond ou pour autres travaux souterrains, autres qu'à benne, à bande ou à courroie et autres que pneumatiques)")</f>
        <v xml:space="preserve">   Appareils élévateurs, transporteurs ou convoyeurs pour marchandises, à action continue (autres que conçus pour mines au fond ou pour autres travaux souterrains, autres qu'à benne, à bande ou à courroie et autres que pneumatiques)</v>
      </c>
      <c r="C5080">
        <v>79580112</v>
      </c>
      <c r="D5080">
        <v>24260</v>
      </c>
    </row>
    <row r="5081" spans="1:4" x14ac:dyDescent="0.25">
      <c r="A5081" t="str">
        <f>T("   842890")</f>
        <v xml:space="preserve">   842890</v>
      </c>
      <c r="B5081" t="str">
        <f>T("   Machines et appareils de levage, chargement, déchargement ou manutention, n.d.a.")</f>
        <v xml:space="preserve">   Machines et appareils de levage, chargement, déchargement ou manutention, n.d.a.</v>
      </c>
      <c r="C5081">
        <v>224462082</v>
      </c>
      <c r="D5081">
        <v>18980</v>
      </c>
    </row>
    <row r="5082" spans="1:4" x14ac:dyDescent="0.25">
      <c r="A5082" t="str">
        <f>T("   842911")</f>
        <v xml:space="preserve">   842911</v>
      </c>
      <c r="B5082" t="str">
        <f>T("   Bouteurs 'bulldozers' et bouteurs biais 'angledozers', à chenilles")</f>
        <v xml:space="preserve">   Bouteurs 'bulldozers' et bouteurs biais 'angledozers', à chenilles</v>
      </c>
      <c r="C5082">
        <v>73964186</v>
      </c>
      <c r="D5082">
        <v>83800</v>
      </c>
    </row>
    <row r="5083" spans="1:4" x14ac:dyDescent="0.25">
      <c r="A5083" t="str">
        <f>T("   842919")</f>
        <v xml:space="preserve">   842919</v>
      </c>
      <c r="B5083" t="str">
        <f>T("   Bouteurs 'bulldozers' et bouteurs biais 'angledozers', sur roues")</f>
        <v xml:space="preserve">   Bouteurs 'bulldozers' et bouteurs biais 'angledozers', sur roues</v>
      </c>
      <c r="C5083">
        <v>49448401</v>
      </c>
      <c r="D5083">
        <v>30000</v>
      </c>
    </row>
    <row r="5084" spans="1:4" x14ac:dyDescent="0.25">
      <c r="A5084" t="str">
        <f>T("   842920")</f>
        <v xml:space="preserve">   842920</v>
      </c>
      <c r="B5084" t="str">
        <f>T("   Niveleuses autopropulsées")</f>
        <v xml:space="preserve">   Niveleuses autopropulsées</v>
      </c>
      <c r="C5084">
        <v>140109276</v>
      </c>
      <c r="D5084">
        <v>84140</v>
      </c>
    </row>
    <row r="5085" spans="1:4" x14ac:dyDescent="0.25">
      <c r="A5085" t="str">
        <f>T("   842940")</f>
        <v xml:space="preserve">   842940</v>
      </c>
      <c r="B5085" t="str">
        <f>T("   Rouleaux compresseurs et autres compacteuses, autopropulsés")</f>
        <v xml:space="preserve">   Rouleaux compresseurs et autres compacteuses, autopropulsés</v>
      </c>
      <c r="C5085">
        <v>161676029</v>
      </c>
      <c r="D5085">
        <v>72930</v>
      </c>
    </row>
    <row r="5086" spans="1:4" x14ac:dyDescent="0.25">
      <c r="A5086" t="str">
        <f>T("   842951")</f>
        <v xml:space="preserve">   842951</v>
      </c>
      <c r="B5086" t="str">
        <f>T("   Chargeuses et chargeuses-pelleteuses, à chargement frontal, autopropulsées")</f>
        <v xml:space="preserve">   Chargeuses et chargeuses-pelleteuses, à chargement frontal, autopropulsées</v>
      </c>
      <c r="C5086">
        <v>594186725</v>
      </c>
      <c r="D5086">
        <v>240266</v>
      </c>
    </row>
    <row r="5087" spans="1:4" x14ac:dyDescent="0.25">
      <c r="A5087" t="str">
        <f>T("   842952")</f>
        <v xml:space="preserve">   842952</v>
      </c>
      <c r="B5087" t="str">
        <f>T("   Pelles mécaniques, autopropulsées, dont la superstructure peut effectuer une rotation de 360°")</f>
        <v xml:space="preserve">   Pelles mécaniques, autopropulsées, dont la superstructure peut effectuer une rotation de 360°</v>
      </c>
      <c r="C5087">
        <v>18160456</v>
      </c>
      <c r="D5087">
        <v>45000</v>
      </c>
    </row>
    <row r="5088" spans="1:4" x14ac:dyDescent="0.25">
      <c r="A5088" t="str">
        <f>T("   842959")</f>
        <v xml:space="preserve">   842959</v>
      </c>
      <c r="B5088" t="str">
        <f>T("   PELLES MÉCANIQUES, EXCAVATEURS, CHARGEUSES ET CHARGEUSES-PELLETEUSES, AUTOPROPULSÉS (SAUF PELLES-MÉCANIQUES DONT LA SUPERSTRUCTURE PEUT EFFECTUER UNE ROTATION DE 360¦ ET SAUF CHARGEUSES À CHARGEMENT FRONTAL)")</f>
        <v xml:space="preserve">   PELLES MÉCANIQUES, EXCAVATEURS, CHARGEUSES ET CHARGEUSES-PELLETEUSES, AUTOPROPULSÉS (SAUF PELLES-MÉCANIQUES DONT LA SUPERSTRUCTURE PEUT EFFECTUER UNE ROTATION DE 360¦ ET SAUF CHARGEUSES À CHARGEMENT FRONTAL)</v>
      </c>
      <c r="C5088">
        <v>722624220</v>
      </c>
      <c r="D5088">
        <v>345000</v>
      </c>
    </row>
    <row r="5089" spans="1:4" x14ac:dyDescent="0.25">
      <c r="A5089" t="str">
        <f>T("   843050")</f>
        <v xml:space="preserve">   843050</v>
      </c>
      <c r="B5089" t="str">
        <f>T("   Machines et appareils de terrassement, nivellement, décapage, excavation, compactage, extraction ou forage de la terre, des minéraux ou des minerais, autopropulsés, n.d.a.")</f>
        <v xml:space="preserve">   Machines et appareils de terrassement, nivellement, décapage, excavation, compactage, extraction ou forage de la terre, des minéraux ou des minerais, autopropulsés, n.d.a.</v>
      </c>
      <c r="C5089">
        <v>12004068</v>
      </c>
      <c r="D5089">
        <v>30000</v>
      </c>
    </row>
    <row r="5090" spans="1:4" x14ac:dyDescent="0.25">
      <c r="A5090" t="str">
        <f>T("   843061")</f>
        <v xml:space="preserve">   843061</v>
      </c>
      <c r="B5090" t="str">
        <f>T("   Machines et appareils à tasser ou à compacter, non autopropulsés (sauf outillage pour emploi à la main)")</f>
        <v xml:space="preserve">   Machines et appareils à tasser ou à compacter, non autopropulsés (sauf outillage pour emploi à la main)</v>
      </c>
      <c r="C5090">
        <v>6175207</v>
      </c>
      <c r="D5090">
        <v>2784</v>
      </c>
    </row>
    <row r="5091" spans="1:4" x14ac:dyDescent="0.25">
      <c r="A5091" t="str">
        <f>T("   843069")</f>
        <v xml:space="preserve">   843069</v>
      </c>
      <c r="B5091" t="str">
        <f>T("   Machines et appareils de terrassement, nivellement, décapage, excavation, compactage, extraction ou forage de la terre, des minéraux ou des minerais, non autopropulsés, n.d.a.")</f>
        <v xml:space="preserve">   Machines et appareils de terrassement, nivellement, décapage, excavation, compactage, extraction ou forage de la terre, des minéraux ou des minerais, non autopropulsés, n.d.a.</v>
      </c>
      <c r="C5091">
        <v>167926</v>
      </c>
      <c r="D5091">
        <v>102</v>
      </c>
    </row>
    <row r="5092" spans="1:4" x14ac:dyDescent="0.25">
      <c r="A5092" t="str">
        <f>T("   843110")</f>
        <v xml:space="preserve">   843110</v>
      </c>
      <c r="B5092" t="str">
        <f>T("   Parties de palans; treuils, cabestans; crics et vérins, n.d.a.")</f>
        <v xml:space="preserve">   Parties de palans; treuils, cabestans; crics et vérins, n.d.a.</v>
      </c>
      <c r="C5092">
        <v>11213643</v>
      </c>
      <c r="D5092">
        <v>1867</v>
      </c>
    </row>
    <row r="5093" spans="1:4" x14ac:dyDescent="0.25">
      <c r="A5093" t="str">
        <f>T("   843120")</f>
        <v xml:space="preserve">   843120</v>
      </c>
      <c r="B5093" t="str">
        <f>T("   Parties de chariots-gerbeurs et autres chariots de manutention munis d'un dispositif de levage, n.d.a.")</f>
        <v xml:space="preserve">   Parties de chariots-gerbeurs et autres chariots de manutention munis d'un dispositif de levage, n.d.a.</v>
      </c>
      <c r="C5093">
        <v>74816444</v>
      </c>
      <c r="D5093">
        <v>5349.7</v>
      </c>
    </row>
    <row r="5094" spans="1:4" x14ac:dyDescent="0.25">
      <c r="A5094" t="str">
        <f>T("   843131")</f>
        <v xml:space="preserve">   843131</v>
      </c>
      <c r="B5094" t="str">
        <f>T("   Parties d'ascenseurs, monte-charge ou escaliers mécaniques, n.d.a.")</f>
        <v xml:space="preserve">   Parties d'ascenseurs, monte-charge ou escaliers mécaniques, n.d.a.</v>
      </c>
      <c r="C5094">
        <v>16599828</v>
      </c>
      <c r="D5094">
        <v>460</v>
      </c>
    </row>
    <row r="5095" spans="1:4" x14ac:dyDescent="0.25">
      <c r="A5095" t="str">
        <f>T("   843139")</f>
        <v xml:space="preserve">   843139</v>
      </c>
      <c r="B5095" t="str">
        <f>T("   Parties de machines et appareils du n° 8428, n.d.a.")</f>
        <v xml:space="preserve">   Parties de machines et appareils du n° 8428, n.d.a.</v>
      </c>
      <c r="C5095">
        <v>283652017</v>
      </c>
      <c r="D5095">
        <v>42648.6</v>
      </c>
    </row>
    <row r="5096" spans="1:4" x14ac:dyDescent="0.25">
      <c r="A5096" t="str">
        <f>T("   843141")</f>
        <v xml:space="preserve">   843141</v>
      </c>
      <c r="B5096" t="str">
        <f>T("   Godets, bennes, bennes-preneuses, pelles, grappins et pinces pour machines et appareils du n° 8426, 8429 ou 8430")</f>
        <v xml:space="preserve">   Godets, bennes, bennes-preneuses, pelles, grappins et pinces pour machines et appareils du n° 8426, 8429 ou 8430</v>
      </c>
      <c r="C5096">
        <v>155895828</v>
      </c>
      <c r="D5096">
        <v>61578</v>
      </c>
    </row>
    <row r="5097" spans="1:4" x14ac:dyDescent="0.25">
      <c r="A5097" t="str">
        <f>T("   843142")</f>
        <v xml:space="preserve">   843142</v>
      </c>
      <c r="B5097" t="str">
        <f>T("   Lames de bouteurs 'bulldozers' ou de bouteurs biais 'angledozers', n.d.a.")</f>
        <v xml:space="preserve">   Lames de bouteurs 'bulldozers' ou de bouteurs biais 'angledozers', n.d.a.</v>
      </c>
      <c r="C5097">
        <v>400136</v>
      </c>
      <c r="D5097">
        <v>1500</v>
      </c>
    </row>
    <row r="5098" spans="1:4" x14ac:dyDescent="0.25">
      <c r="A5098" t="str">
        <f>T("   843143")</f>
        <v xml:space="preserve">   843143</v>
      </c>
      <c r="B5098" t="str">
        <f>T("   Parties de machines de sondage ou de forage du n° 8430.41 ou 8430.49, n.d.a.")</f>
        <v xml:space="preserve">   Parties de machines de sondage ou de forage du n° 8430.41 ou 8430.49, n.d.a.</v>
      </c>
      <c r="C5098">
        <v>23211510</v>
      </c>
      <c r="D5098">
        <v>3092</v>
      </c>
    </row>
    <row r="5099" spans="1:4" x14ac:dyDescent="0.25">
      <c r="A5099" t="str">
        <f>T("   843149")</f>
        <v xml:space="preserve">   843149</v>
      </c>
      <c r="B5099" t="str">
        <f>T("   Parties de machines et appareils du n° 8426, 8429 ou 8430, n.d.a.")</f>
        <v xml:space="preserve">   Parties de machines et appareils du n° 8426, 8429 ou 8430, n.d.a.</v>
      </c>
      <c r="C5099">
        <v>1307761957</v>
      </c>
      <c r="D5099">
        <v>306921.59999999998</v>
      </c>
    </row>
    <row r="5100" spans="1:4" x14ac:dyDescent="0.25">
      <c r="A5100" t="str">
        <f>T("   843210")</f>
        <v xml:space="preserve">   843210</v>
      </c>
      <c r="B5100" t="str">
        <f>T("   Charrues pour l'agriculture, la sylviculture ou l'horticulture")</f>
        <v xml:space="preserve">   Charrues pour l'agriculture, la sylviculture ou l'horticulture</v>
      </c>
      <c r="C5100">
        <v>65596</v>
      </c>
      <c r="D5100">
        <v>601</v>
      </c>
    </row>
    <row r="5101" spans="1:4" x14ac:dyDescent="0.25">
      <c r="A5101" t="str">
        <f>T("   843229")</f>
        <v xml:space="preserve">   843229</v>
      </c>
      <c r="B5101" t="str">
        <f>T("   Herses, scarificateurs, cultivateurs, extirpateurs, houes, sarcleuses et bineuses pour l'agriculture, la sylviculture ou l'horticulture (à l'excl. des herses à disques)")</f>
        <v xml:space="preserve">   Herses, scarificateurs, cultivateurs, extirpateurs, houes, sarcleuses et bineuses pour l'agriculture, la sylviculture ou l'horticulture (à l'excl. des herses à disques)</v>
      </c>
      <c r="C5101">
        <v>8546667</v>
      </c>
      <c r="D5101">
        <v>5247</v>
      </c>
    </row>
    <row r="5102" spans="1:4" x14ac:dyDescent="0.25">
      <c r="A5102" t="str">
        <f>T("   843240")</f>
        <v xml:space="preserve">   843240</v>
      </c>
      <c r="B5102" t="str">
        <f>T("   ÉPANDEURS DE FUMIER ET DISTRIBUTEURS D'ENGRAIS POUR L'AGRICULTURE, LA SYLVICULTURE OU L'HORTICULTURE")</f>
        <v xml:space="preserve">   ÉPANDEURS DE FUMIER ET DISTRIBUTEURS D'ENGRAIS POUR L'AGRICULTURE, LA SYLVICULTURE OU L'HORTICULTURE</v>
      </c>
      <c r="C5102">
        <v>32798</v>
      </c>
      <c r="D5102">
        <v>300</v>
      </c>
    </row>
    <row r="5103" spans="1:4" x14ac:dyDescent="0.25">
      <c r="A5103" t="str">
        <f>T("   843280")</f>
        <v xml:space="preserve">   843280</v>
      </c>
      <c r="B5103" t="s">
        <v>409</v>
      </c>
      <c r="C5103">
        <v>4590367</v>
      </c>
      <c r="D5103">
        <v>6360</v>
      </c>
    </row>
    <row r="5104" spans="1:4" x14ac:dyDescent="0.25">
      <c r="A5104" t="str">
        <f>T("   843311")</f>
        <v xml:space="preserve">   843311</v>
      </c>
      <c r="B5104" t="str">
        <f>T("   Tondeuses à gazon à moteur, dont le dispositif de coupe tourne dans un plan horizontal")</f>
        <v xml:space="preserve">   Tondeuses à gazon à moteur, dont le dispositif de coupe tourne dans un plan horizontal</v>
      </c>
      <c r="C5104">
        <v>2280117</v>
      </c>
      <c r="D5104">
        <v>469</v>
      </c>
    </row>
    <row r="5105" spans="1:4" x14ac:dyDescent="0.25">
      <c r="A5105" t="str">
        <f>T("   843319")</f>
        <v xml:space="preserve">   843319</v>
      </c>
      <c r="B5105" t="str">
        <f>T("   Tondeuses à gazon à moteur, dont le dispositif de coupe tourne dans un plan vertical, ou à barre de coupe")</f>
        <v xml:space="preserve">   Tondeuses à gazon à moteur, dont le dispositif de coupe tourne dans un plan vertical, ou à barre de coupe</v>
      </c>
      <c r="C5105">
        <v>1956073</v>
      </c>
      <c r="D5105">
        <v>1029</v>
      </c>
    </row>
    <row r="5106" spans="1:4" x14ac:dyDescent="0.25">
      <c r="A5106" t="str">
        <f>T("   843320")</f>
        <v xml:space="preserve">   843320</v>
      </c>
      <c r="B5106" t="str">
        <f>T("   Faucheuses, y.c. les barres de coupe à monter sur tracteur (à l'excl. des tondeuses à gazon)")</f>
        <v xml:space="preserve">   Faucheuses, y.c. les barres de coupe à monter sur tracteur (à l'excl. des tondeuses à gazon)</v>
      </c>
      <c r="C5106">
        <v>257792</v>
      </c>
      <c r="D5106">
        <v>63</v>
      </c>
    </row>
    <row r="5107" spans="1:4" x14ac:dyDescent="0.25">
      <c r="A5107" t="str">
        <f>T("   843390")</f>
        <v xml:space="preserve">   843390</v>
      </c>
      <c r="B5107" t="str">
        <f>T("   Parties des machines, appareils et engins pour la récolte, le battage et le fauchage, et des machines pour le nettoyage ou le triage des produits agricoles, n.d.a.")</f>
        <v xml:space="preserve">   Parties des machines, appareils et engins pour la récolte, le battage et le fauchage, et des machines pour le nettoyage ou le triage des produits agricoles, n.d.a.</v>
      </c>
      <c r="C5107">
        <v>305887</v>
      </c>
      <c r="D5107">
        <v>165</v>
      </c>
    </row>
    <row r="5108" spans="1:4" x14ac:dyDescent="0.25">
      <c r="A5108" t="str">
        <f>T("   843510")</f>
        <v xml:space="preserve">   843510</v>
      </c>
      <c r="B5108" t="s">
        <v>411</v>
      </c>
      <c r="C5108">
        <v>3365783</v>
      </c>
      <c r="D5108">
        <v>91</v>
      </c>
    </row>
    <row r="5109" spans="1:4" x14ac:dyDescent="0.25">
      <c r="A5109" t="str">
        <f>T("   843621")</f>
        <v xml:space="preserve">   843621</v>
      </c>
      <c r="B5109" t="str">
        <f>T("   Couveuses et éleveuses pour l'aviculture")</f>
        <v xml:space="preserve">   Couveuses et éleveuses pour l'aviculture</v>
      </c>
      <c r="C5109">
        <v>459172</v>
      </c>
      <c r="D5109">
        <v>75</v>
      </c>
    </row>
    <row r="5110" spans="1:4" x14ac:dyDescent="0.25">
      <c r="A5110" t="str">
        <f>T("   843680")</f>
        <v xml:space="preserve">   843680</v>
      </c>
      <c r="B5110" t="str">
        <f>T("   Machines et appareils pour l'agriculture, la sylviculture, l'horticulture ou l'apiculture, n.d.a.")</f>
        <v xml:space="preserve">   Machines et appareils pour l'agriculture, la sylviculture, l'horticulture ou l'apiculture, n.d.a.</v>
      </c>
      <c r="C5110">
        <v>72156</v>
      </c>
      <c r="D5110">
        <v>661</v>
      </c>
    </row>
    <row r="5111" spans="1:4" x14ac:dyDescent="0.25">
      <c r="A5111" t="str">
        <f>T("   843699")</f>
        <v xml:space="preserve">   843699</v>
      </c>
      <c r="B5111" t="str">
        <f>T("   Parties de machines et appareils pour l'agriculture, la sylviculture, l'horticulture ou l'apiculture, n.d.a.")</f>
        <v xml:space="preserve">   Parties de machines et appareils pour l'agriculture, la sylviculture, l'horticulture ou l'apiculture, n.d.a.</v>
      </c>
      <c r="C5111">
        <v>717223</v>
      </c>
      <c r="D5111">
        <v>537</v>
      </c>
    </row>
    <row r="5112" spans="1:4" x14ac:dyDescent="0.25">
      <c r="A5112" t="str">
        <f>T("   843790")</f>
        <v xml:space="preserve">   843790</v>
      </c>
      <c r="B5112" t="str">
        <f>T("   Parties de machines et appareils de minoterie ou pour le traitement des céréales ou légumes secs ou pour le nettoyage, le triage ou le criblage des grains ou des légumes secs, n.d.a.")</f>
        <v xml:space="preserve">   Parties de machines et appareils de minoterie ou pour le traitement des céréales ou légumes secs ou pour le nettoyage, le triage ou le criblage des grains ou des légumes secs, n.d.a.</v>
      </c>
      <c r="C5112">
        <v>25211564</v>
      </c>
      <c r="D5112">
        <v>1213</v>
      </c>
    </row>
    <row r="5113" spans="1:4" x14ac:dyDescent="0.25">
      <c r="A5113" t="str">
        <f>T("   843810")</f>
        <v xml:space="preserve">   843810</v>
      </c>
      <c r="B5113" t="s">
        <v>413</v>
      </c>
      <c r="C5113">
        <v>31438379</v>
      </c>
      <c r="D5113">
        <v>51805</v>
      </c>
    </row>
    <row r="5114" spans="1:4" x14ac:dyDescent="0.25">
      <c r="A5114" t="str">
        <f>T("   843850")</f>
        <v xml:space="preserve">   843850</v>
      </c>
      <c r="B5114" t="str">
        <f>T("   Machines et appareils pour le traitement industriel des viandes (sauf appareils de cuisson et autres appareils thermiques ainsi que les installations de refroidissement et de congélation)")</f>
        <v xml:space="preserve">   Machines et appareils pour le traitement industriel des viandes (sauf appareils de cuisson et autres appareils thermiques ainsi que les installations de refroidissement et de congélation)</v>
      </c>
      <c r="C5114">
        <v>2145646</v>
      </c>
      <c r="D5114">
        <v>89</v>
      </c>
    </row>
    <row r="5115" spans="1:4" x14ac:dyDescent="0.25">
      <c r="A5115" t="str">
        <f>T("   843860")</f>
        <v xml:space="preserve">   843860</v>
      </c>
      <c r="B5115" t="s">
        <v>414</v>
      </c>
      <c r="C5115">
        <v>95180</v>
      </c>
      <c r="D5115">
        <v>28</v>
      </c>
    </row>
    <row r="5116" spans="1:4" x14ac:dyDescent="0.25">
      <c r="A5116" t="str">
        <f>T("   843890")</f>
        <v xml:space="preserve">   843890</v>
      </c>
      <c r="B5116" t="str">
        <f>T("   Parties des machines et appareils pour le traitement, la préparation ou la fabrication industriels d'aliments ou de boissons, n.d.a.")</f>
        <v xml:space="preserve">   Parties des machines et appareils pour le traitement, la préparation ou la fabrication industriels d'aliments ou de boissons, n.d.a.</v>
      </c>
      <c r="C5116">
        <v>50154987</v>
      </c>
      <c r="D5116">
        <v>16289</v>
      </c>
    </row>
    <row r="5117" spans="1:4" x14ac:dyDescent="0.25">
      <c r="A5117" t="str">
        <f>T("   843999")</f>
        <v xml:space="preserve">   843999</v>
      </c>
      <c r="B5117" t="str">
        <f>T("   Parties de machines et appareils pour la fabrication ou le finissage de papier ou de carton, n.d.a.")</f>
        <v xml:space="preserve">   Parties de machines et appareils pour la fabrication ou le finissage de papier ou de carton, n.d.a.</v>
      </c>
      <c r="C5117">
        <v>37583795</v>
      </c>
      <c r="D5117">
        <v>5457</v>
      </c>
    </row>
    <row r="5118" spans="1:4" x14ac:dyDescent="0.25">
      <c r="A5118" t="str">
        <f>T("   844010")</f>
        <v xml:space="preserve">   844010</v>
      </c>
      <c r="B5118" t="s">
        <v>415</v>
      </c>
      <c r="C5118">
        <v>23841481</v>
      </c>
      <c r="D5118">
        <v>18291</v>
      </c>
    </row>
    <row r="5119" spans="1:4" x14ac:dyDescent="0.25">
      <c r="A5119" t="str">
        <f>T("   844110")</f>
        <v xml:space="preserve">   844110</v>
      </c>
      <c r="B5119" t="str">
        <f>T("   Coupeuses pour le travail de la pâte à papier, du papier ou du carton (sauf machines et appareils pour le brochage ou la reliure)")</f>
        <v xml:space="preserve">   Coupeuses pour le travail de la pâte à papier, du papier ou du carton (sauf machines et appareils pour le brochage ou la reliure)</v>
      </c>
      <c r="C5119">
        <v>7741056</v>
      </c>
      <c r="D5119">
        <v>17560</v>
      </c>
    </row>
    <row r="5120" spans="1:4" x14ac:dyDescent="0.25">
      <c r="A5120" t="str">
        <f>T("   844180")</f>
        <v xml:space="preserve">   844180</v>
      </c>
      <c r="B5120" t="str">
        <f>T("   Machines et appareils pour le travail de la pâte à papier, du papier ou du carton, n.d.a.")</f>
        <v xml:space="preserve">   Machines et appareils pour le travail de la pâte à papier, du papier ou du carton, n.d.a.</v>
      </c>
      <c r="C5120">
        <v>3230084</v>
      </c>
      <c r="D5120">
        <v>4807</v>
      </c>
    </row>
    <row r="5121" spans="1:4" x14ac:dyDescent="0.25">
      <c r="A5121" t="str">
        <f>T("   844230")</f>
        <v xml:space="preserve">   844230</v>
      </c>
      <c r="B5121" t="s">
        <v>416</v>
      </c>
      <c r="C5121">
        <v>4430839</v>
      </c>
      <c r="D5121">
        <v>5726</v>
      </c>
    </row>
    <row r="5122" spans="1:4" x14ac:dyDescent="0.25">
      <c r="A5122" t="str">
        <f>T("   844250")</f>
        <v xml:space="preserve">   844250</v>
      </c>
      <c r="B5122" t="str">
        <f>T("   PLANCHES, CYLINDRES ET AUTRES ORGANES IMPRIMANTS; PIERRES LITHOGRAPHIQUES, PLANCHES, PLAQUES ET CYLINDRES PRÉPARÉS POUR L'IMPRESSION -PLANÉS, GRENÉS, POLIS, P.EX.-")</f>
        <v xml:space="preserve">   PLANCHES, CYLINDRES ET AUTRES ORGANES IMPRIMANTS; PIERRES LITHOGRAPHIQUES, PLANCHES, PLAQUES ET CYLINDRES PRÉPARÉS POUR L'IMPRESSION -PLANÉS, GRENÉS, POLIS, P.EX.-</v>
      </c>
      <c r="C5122">
        <v>2505496</v>
      </c>
      <c r="D5122">
        <v>150</v>
      </c>
    </row>
    <row r="5123" spans="1:4" x14ac:dyDescent="0.25">
      <c r="A5123" t="str">
        <f>T("   844312")</f>
        <v xml:space="preserve">   844312</v>
      </c>
      <c r="B5123" t="str">
        <f>T("   Machines et appareils à imprimer, offset, alimentés en feuilles, format &lt;= 22 x 36 cm -offset de bureau-")</f>
        <v xml:space="preserve">   Machines et appareils à imprimer, offset, alimentés en feuilles, format &lt;= 22 x 36 cm -offset de bureau-</v>
      </c>
      <c r="C5123">
        <v>8677039</v>
      </c>
      <c r="D5123">
        <v>7000</v>
      </c>
    </row>
    <row r="5124" spans="1:4" x14ac:dyDescent="0.25">
      <c r="A5124" t="str">
        <f>T("   844319")</f>
        <v xml:space="preserve">   844319</v>
      </c>
      <c r="B5124" t="s">
        <v>417</v>
      </c>
      <c r="C5124">
        <v>71897592</v>
      </c>
      <c r="D5124">
        <v>89193</v>
      </c>
    </row>
    <row r="5125" spans="1:4" x14ac:dyDescent="0.25">
      <c r="A5125" t="str">
        <f>T("   844329")</f>
        <v xml:space="preserve">   844329</v>
      </c>
      <c r="B5125" t="str">
        <f>T("   Machines et appareils à imprimer, typographiques (sauf machines et appareils flexographiques, et machines et appareils à imprimer typographiques alimentés en bobines)")</f>
        <v xml:space="preserve">   Machines et appareils à imprimer, typographiques (sauf machines et appareils flexographiques, et machines et appareils à imprimer typographiques alimentés en bobines)</v>
      </c>
      <c r="C5125">
        <v>8855460</v>
      </c>
      <c r="D5125">
        <v>10000</v>
      </c>
    </row>
    <row r="5126" spans="1:4" x14ac:dyDescent="0.25">
      <c r="A5126" t="str">
        <f>T("   844330")</f>
        <v xml:space="preserve">   844330</v>
      </c>
      <c r="B5126" t="str">
        <f>T("   Machines et appareils à imprimer, flexographiques")</f>
        <v xml:space="preserve">   Machines et appareils à imprimer, flexographiques</v>
      </c>
      <c r="C5126">
        <v>197092960</v>
      </c>
      <c r="D5126">
        <v>21515</v>
      </c>
    </row>
    <row r="5127" spans="1:4" x14ac:dyDescent="0.25">
      <c r="A5127" t="str">
        <f>T("   844340")</f>
        <v xml:space="preserve">   844340</v>
      </c>
      <c r="B5127" t="str">
        <f>T("   Machines et appareils à imprimer, héliographiques")</f>
        <v xml:space="preserve">   Machines et appareils à imprimer, héliographiques</v>
      </c>
      <c r="C5127">
        <v>6172768</v>
      </c>
      <c r="D5127">
        <v>281</v>
      </c>
    </row>
    <row r="5128" spans="1:4" x14ac:dyDescent="0.25">
      <c r="A5128" t="str">
        <f>T("   844351")</f>
        <v xml:space="preserve">   844351</v>
      </c>
      <c r="B5128" t="str">
        <f>T("   Machines à imprimer à jet d'encre")</f>
        <v xml:space="preserve">   Machines à imprimer à jet d'encre</v>
      </c>
      <c r="C5128">
        <v>120108292</v>
      </c>
      <c r="D5128">
        <v>13300</v>
      </c>
    </row>
    <row r="5129" spans="1:4" x14ac:dyDescent="0.25">
      <c r="A5129" t="str">
        <f>T("   844359")</f>
        <v xml:space="preserve">   844359</v>
      </c>
      <c r="B5129" t="s">
        <v>418</v>
      </c>
      <c r="C5129">
        <v>102413027</v>
      </c>
      <c r="D5129">
        <v>159745</v>
      </c>
    </row>
    <row r="5130" spans="1:4" x14ac:dyDescent="0.25">
      <c r="A5130" t="str">
        <f>T("   844360")</f>
        <v xml:space="preserve">   844360</v>
      </c>
      <c r="B5130" t="str">
        <f>T("   Machines auxiliaires pour l'impression fabriquées spécialement pour les machines et appareils à imprimer, pour placer, transporter ou travailler autrement les feuilles de papier ou les bandes continues de papier")</f>
        <v xml:space="preserve">   Machines auxiliaires pour l'impression fabriquées spécialement pour les machines et appareils à imprimer, pour placer, transporter ou travailler autrement les feuilles de papier ou les bandes continues de papier</v>
      </c>
      <c r="C5130">
        <v>5598626</v>
      </c>
      <c r="D5130">
        <v>7380</v>
      </c>
    </row>
    <row r="5131" spans="1:4" x14ac:dyDescent="0.25">
      <c r="A5131" t="str">
        <f>T("   844390")</f>
        <v xml:space="preserve">   844390</v>
      </c>
      <c r="B5131" t="str">
        <f>T("   Parties de machines et appareils à imprimer et de leur machines et appareils auxiliaires, n.d.a.")</f>
        <v xml:space="preserve">   Parties de machines et appareils à imprimer et de leur machines et appareils auxiliaires, n.d.a.</v>
      </c>
      <c r="C5131">
        <v>72873442</v>
      </c>
      <c r="D5131">
        <v>17520</v>
      </c>
    </row>
    <row r="5132" spans="1:4" x14ac:dyDescent="0.25">
      <c r="A5132" t="str">
        <f>T("   844519")</f>
        <v xml:space="preserve">   844519</v>
      </c>
      <c r="B5132" t="str">
        <f>T("   MACHINES POUR LA PRÉPARATION DES MATIÈRES TEXTILES (AUTRES QUE CARDÉS, PEIGNEUSES ET BANCS À BROCHES)")</f>
        <v xml:space="preserve">   MACHINES POUR LA PRÉPARATION DES MATIÈRES TEXTILES (AUTRES QUE CARDÉS, PEIGNEUSES ET BANCS À BROCHES)</v>
      </c>
      <c r="C5132">
        <v>6106942</v>
      </c>
      <c r="D5132">
        <v>693</v>
      </c>
    </row>
    <row r="5133" spans="1:4" x14ac:dyDescent="0.25">
      <c r="A5133" t="str">
        <f>T("   844590")</f>
        <v xml:space="preserve">   844590</v>
      </c>
      <c r="B5133" t="s">
        <v>419</v>
      </c>
      <c r="C5133">
        <v>4189617</v>
      </c>
      <c r="D5133">
        <v>12000</v>
      </c>
    </row>
    <row r="5134" spans="1:4" x14ac:dyDescent="0.25">
      <c r="A5134" t="str">
        <f>T("   844820")</f>
        <v xml:space="preserve">   844820</v>
      </c>
      <c r="B5134" t="str">
        <f>T("   Parties et accessoires des machines pour le filage -extrusion-, l'étirage, la texturation ou le tranchage des matières textiles synthétiques ou artificielles ou de leurs machines et appareils auxiliaires, n.d.a.")</f>
        <v xml:space="preserve">   Parties et accessoires des machines pour le filage -extrusion-, l'étirage, la texturation ou le tranchage des matières textiles synthétiques ou artificielles ou de leurs machines et appareils auxiliaires, n.d.a.</v>
      </c>
      <c r="C5134">
        <v>857787</v>
      </c>
      <c r="D5134">
        <v>27</v>
      </c>
    </row>
    <row r="5135" spans="1:4" x14ac:dyDescent="0.25">
      <c r="A5135" t="str">
        <f>T("   844832")</f>
        <v xml:space="preserve">   844832</v>
      </c>
      <c r="B5135" t="str">
        <f>T("   PARTIES ET ACCESSOIRES DE MACHINES POUR LA PRÉPARATION DES MATIÈRES TEXTILES, N.D.A. (AUTRES QUE LES GARNITURES DE CARDÉS)")</f>
        <v xml:space="preserve">   PARTIES ET ACCESSOIRES DE MACHINES POUR LA PRÉPARATION DES MATIÈRES TEXTILES, N.D.A. (AUTRES QUE LES GARNITURES DE CARDÉS)</v>
      </c>
      <c r="C5135">
        <v>15004940</v>
      </c>
      <c r="D5135">
        <v>623</v>
      </c>
    </row>
    <row r="5136" spans="1:4" x14ac:dyDescent="0.25">
      <c r="A5136" t="str">
        <f>T("   844839")</f>
        <v xml:space="preserve">   844839</v>
      </c>
      <c r="B5136" t="str">
        <f>T("   Parties et accessoires des machines du n° 8445, n.d.a.")</f>
        <v xml:space="preserve">   Parties et accessoires des machines du n° 8445, n.d.a.</v>
      </c>
      <c r="C5136">
        <v>3684718</v>
      </c>
      <c r="D5136">
        <v>99</v>
      </c>
    </row>
    <row r="5137" spans="1:4" x14ac:dyDescent="0.25">
      <c r="A5137" t="str">
        <f>T("   844849")</f>
        <v xml:space="preserve">   844849</v>
      </c>
      <c r="B5137" t="str">
        <f>T("   Parties et accessoires des métiers à tisser ou de leurs machines et appareils auxiliaires, n.d.a.")</f>
        <v xml:space="preserve">   Parties et accessoires des métiers à tisser ou de leurs machines et appareils auxiliaires, n.d.a.</v>
      </c>
      <c r="C5137">
        <v>1100000</v>
      </c>
      <c r="D5137">
        <v>6002</v>
      </c>
    </row>
    <row r="5138" spans="1:4" x14ac:dyDescent="0.25">
      <c r="A5138" t="str">
        <f>T("   845011")</f>
        <v xml:space="preserve">   845011</v>
      </c>
      <c r="B5138" t="str">
        <f>T("   Machines à laver le linge entièrement automatiques, d'une capacité unitaire exprimée en poids de linge sec &lt;= 6 kg")</f>
        <v xml:space="preserve">   Machines à laver le linge entièrement automatiques, d'une capacité unitaire exprimée en poids de linge sec &lt;= 6 kg</v>
      </c>
      <c r="C5138">
        <v>950000</v>
      </c>
      <c r="D5138">
        <v>240</v>
      </c>
    </row>
    <row r="5139" spans="1:4" x14ac:dyDescent="0.25">
      <c r="A5139" t="str">
        <f>T("   845019")</f>
        <v xml:space="preserve">   845019</v>
      </c>
      <c r="B5139" t="str">
        <f>T("   Machines à laver le linge d'une capacité unitaire exprimée en poids de linge sec &lt;= 6 kg (à l'excl. des machines entièrement automatiques et des machines à laver le linge avec essoreuse centrifuge incorporée)")</f>
        <v xml:space="preserve">   Machines à laver le linge d'une capacité unitaire exprimée en poids de linge sec &lt;= 6 kg (à l'excl. des machines entièrement automatiques et des machines à laver le linge avec essoreuse centrifuge incorporée)</v>
      </c>
      <c r="C5139">
        <v>5890554</v>
      </c>
      <c r="D5139">
        <v>2001</v>
      </c>
    </row>
    <row r="5140" spans="1:4" x14ac:dyDescent="0.25">
      <c r="A5140" t="str">
        <f>T("   845020")</f>
        <v xml:space="preserve">   845020</v>
      </c>
      <c r="B5140" t="str">
        <f>T("   Machines à laver le linge, capacité unitaire en poids de linge sec &gt; 10 kg")</f>
        <v xml:space="preserve">   Machines à laver le linge, capacité unitaire en poids de linge sec &gt; 10 kg</v>
      </c>
      <c r="C5140">
        <v>2300880</v>
      </c>
      <c r="D5140">
        <v>2720</v>
      </c>
    </row>
    <row r="5141" spans="1:4" x14ac:dyDescent="0.25">
      <c r="A5141" t="str">
        <f>T("   845090")</f>
        <v xml:space="preserve">   845090</v>
      </c>
      <c r="B5141" t="str">
        <f>T("   Parties de machines à laver le linge, n.d.a.")</f>
        <v xml:space="preserve">   Parties de machines à laver le linge, n.d.a.</v>
      </c>
      <c r="C5141">
        <v>5386783</v>
      </c>
      <c r="D5141">
        <v>67</v>
      </c>
    </row>
    <row r="5142" spans="1:4" x14ac:dyDescent="0.25">
      <c r="A5142" t="str">
        <f>T("   845129")</f>
        <v xml:space="preserve">   845129</v>
      </c>
      <c r="B5142" t="str">
        <f>T("   Machines et appareils à sécher les fils, les tissus ou autres ouvrages en matières textiles ( à l'excl. des machines à sécher d'une capacité unitaire en poids de linge sec &lt;= 10 kg et sauf essoreuses centrifuges)")</f>
        <v xml:space="preserve">   Machines et appareils à sécher les fils, les tissus ou autres ouvrages en matières textiles ( à l'excl. des machines à sécher d'une capacité unitaire en poids de linge sec &lt;= 10 kg et sauf essoreuses centrifuges)</v>
      </c>
      <c r="C5142">
        <v>4972177</v>
      </c>
      <c r="D5142">
        <v>549</v>
      </c>
    </row>
    <row r="5143" spans="1:4" x14ac:dyDescent="0.25">
      <c r="A5143" t="str">
        <f>T("   845130")</f>
        <v xml:space="preserve">   845130</v>
      </c>
      <c r="B5143" t="str">
        <f>T("   Machines et presses à repasser, y.c. les presses à fixer (à l'excl. des calandres à catir ou à repasser)")</f>
        <v xml:space="preserve">   Machines et presses à repasser, y.c. les presses à fixer (à l'excl. des calandres à catir ou à repasser)</v>
      </c>
      <c r="C5143">
        <v>5931846</v>
      </c>
      <c r="D5143">
        <v>340</v>
      </c>
    </row>
    <row r="5144" spans="1:4" x14ac:dyDescent="0.25">
      <c r="A5144" t="str">
        <f>T("   845180")</f>
        <v xml:space="preserve">   845180</v>
      </c>
      <c r="B5144" t="s">
        <v>420</v>
      </c>
      <c r="C5144">
        <v>482918</v>
      </c>
      <c r="D5144">
        <v>141</v>
      </c>
    </row>
    <row r="5145" spans="1:4" x14ac:dyDescent="0.25">
      <c r="A5145" t="str">
        <f>T("   845190")</f>
        <v xml:space="preserve">   845190</v>
      </c>
      <c r="B5145" t="s">
        <v>421</v>
      </c>
      <c r="C5145">
        <v>56721</v>
      </c>
      <c r="D5145">
        <v>34</v>
      </c>
    </row>
    <row r="5146" spans="1:4" x14ac:dyDescent="0.25">
      <c r="A5146" t="str">
        <f>T("   845210")</f>
        <v xml:space="preserve">   845210</v>
      </c>
      <c r="B5146" t="str">
        <f>T("   Machines à coudre de type ménager")</f>
        <v xml:space="preserve">   Machines à coudre de type ménager</v>
      </c>
      <c r="C5146">
        <v>723154</v>
      </c>
      <c r="D5146">
        <v>1704</v>
      </c>
    </row>
    <row r="5147" spans="1:4" x14ac:dyDescent="0.25">
      <c r="A5147" t="str">
        <f>T("   845229")</f>
        <v xml:space="preserve">   845229</v>
      </c>
      <c r="B5147" t="str">
        <f>T("   Machines à coudre de type industriel (sauf unités automatiques)")</f>
        <v xml:space="preserve">   Machines à coudre de type industriel (sauf unités automatiques)</v>
      </c>
      <c r="C5147">
        <v>81352</v>
      </c>
      <c r="D5147">
        <v>80</v>
      </c>
    </row>
    <row r="5148" spans="1:4" x14ac:dyDescent="0.25">
      <c r="A5148" t="str">
        <f>T("   845522")</f>
        <v xml:space="preserve">   845522</v>
      </c>
      <c r="B5148" t="str">
        <f>T("   Laminoirs à métaux à froid (autres qu'à tubes)")</f>
        <v xml:space="preserve">   Laminoirs à métaux à froid (autres qu'à tubes)</v>
      </c>
      <c r="C5148">
        <v>1635308</v>
      </c>
      <c r="D5148">
        <v>173</v>
      </c>
    </row>
    <row r="5149" spans="1:4" x14ac:dyDescent="0.25">
      <c r="A5149" t="str">
        <f>T("   845699")</f>
        <v xml:space="preserve">   845699</v>
      </c>
      <c r="B5149" t="s">
        <v>422</v>
      </c>
      <c r="C5149">
        <v>1805268</v>
      </c>
      <c r="D5149">
        <v>300</v>
      </c>
    </row>
    <row r="5150" spans="1:4" x14ac:dyDescent="0.25">
      <c r="A5150" t="str">
        <f>T("   845899")</f>
        <v xml:space="preserve">   845899</v>
      </c>
      <c r="B5150" t="s">
        <v>423</v>
      </c>
      <c r="C5150">
        <v>35383223</v>
      </c>
      <c r="D5150">
        <v>10500</v>
      </c>
    </row>
    <row r="5151" spans="1:4" x14ac:dyDescent="0.25">
      <c r="A5151" t="str">
        <f>T("   845939")</f>
        <v xml:space="preserve">   845939</v>
      </c>
      <c r="B5151" t="str">
        <f>T("   Aléseuses-fraiseuses combinées pour métaux, opérant par enlèvement de matières (autres qu'à commande numérique et sauf unités d'usinage à glissières)")</f>
        <v xml:space="preserve">   Aléseuses-fraiseuses combinées pour métaux, opérant par enlèvement de matières (autres qu'à commande numérique et sauf unités d'usinage à glissières)</v>
      </c>
      <c r="C5151">
        <v>12275832</v>
      </c>
      <c r="D5151">
        <v>4500</v>
      </c>
    </row>
    <row r="5152" spans="1:4" x14ac:dyDescent="0.25">
      <c r="A5152" t="str">
        <f>T("   845951")</f>
        <v xml:space="preserve">   845951</v>
      </c>
      <c r="B5152" t="str">
        <f>T("   Machines à fraiser les métaux par enlèvement de matières, à console, à commande numérique")</f>
        <v xml:space="preserve">   Machines à fraiser les métaux par enlèvement de matières, à console, à commande numérique</v>
      </c>
      <c r="C5152">
        <v>5676022</v>
      </c>
      <c r="D5152">
        <v>361</v>
      </c>
    </row>
    <row r="5153" spans="1:4" x14ac:dyDescent="0.25">
      <c r="A5153" t="str">
        <f>T("   845969")</f>
        <v xml:space="preserve">   845969</v>
      </c>
      <c r="B5153" t="str">
        <f>T("   Machines à fraiser les métaux par enlèvement de matières (autres qu'à commande numérique et sauf unités d'usinage à glissières, aléseuses-fraiseuses combinées, machines à fraiser à console et machines à tailler les engrenages)")</f>
        <v xml:space="preserve">   Machines à fraiser les métaux par enlèvement de matières (autres qu'à commande numérique et sauf unités d'usinage à glissières, aléseuses-fraiseuses combinées, machines à fraiser à console et machines à tailler les engrenages)</v>
      </c>
      <c r="C5153">
        <v>23831985</v>
      </c>
      <c r="D5153">
        <v>14160</v>
      </c>
    </row>
    <row r="5154" spans="1:4" x14ac:dyDescent="0.25">
      <c r="A5154" t="str">
        <f>T("   846090")</f>
        <v xml:space="preserve">   846090</v>
      </c>
      <c r="B5154" t="s">
        <v>425</v>
      </c>
      <c r="C5154">
        <v>254706</v>
      </c>
      <c r="D5154">
        <v>12</v>
      </c>
    </row>
    <row r="5155" spans="1:4" x14ac:dyDescent="0.25">
      <c r="A5155" t="str">
        <f>T("   846120")</f>
        <v xml:space="preserve">   846120</v>
      </c>
      <c r="B5155" t="str">
        <f>T("   Etaux-limeurs et machines à mortaiser, pour le travail des métaux")</f>
        <v xml:space="preserve">   Etaux-limeurs et machines à mortaiser, pour le travail des métaux</v>
      </c>
      <c r="C5155">
        <v>3971588</v>
      </c>
      <c r="D5155">
        <v>800</v>
      </c>
    </row>
    <row r="5156" spans="1:4" x14ac:dyDescent="0.25">
      <c r="A5156" t="str">
        <f>T("   846150")</f>
        <v xml:space="preserve">   846150</v>
      </c>
      <c r="B5156" t="str">
        <f>T("   Machines à scier ou à tronçonner, pour le travail des métaux (autres que l'outillage à main)")</f>
        <v xml:space="preserve">   Machines à scier ou à tronçonner, pour le travail des métaux (autres que l'outillage à main)</v>
      </c>
      <c r="C5156">
        <v>8049634</v>
      </c>
      <c r="D5156">
        <v>2063</v>
      </c>
    </row>
    <row r="5157" spans="1:4" x14ac:dyDescent="0.25">
      <c r="A5157" t="str">
        <f>T("   846190")</f>
        <v xml:space="preserve">   846190</v>
      </c>
      <c r="B5157" t="str">
        <f>T("   Machines à raboter et autres machines-outils travaillant par enlèvement de métal, n.d.a.")</f>
        <v xml:space="preserve">   Machines à raboter et autres machines-outils travaillant par enlèvement de métal, n.d.a.</v>
      </c>
      <c r="C5157">
        <v>546415</v>
      </c>
      <c r="D5157">
        <v>3267</v>
      </c>
    </row>
    <row r="5158" spans="1:4" x14ac:dyDescent="0.25">
      <c r="A5158" t="str">
        <f>T("   846229")</f>
        <v xml:space="preserve">   846229</v>
      </c>
      <c r="B5158" t="str">
        <f>T("   Machines, y.c. -les presses-, à rouler, cintrer, plier, dresser ou planer, pour le travail des métaux (autres qu'à commande numérique)")</f>
        <v xml:space="preserve">   Machines, y.c. -les presses-, à rouler, cintrer, plier, dresser ou planer, pour le travail des métaux (autres qu'à commande numérique)</v>
      </c>
      <c r="C5158">
        <v>538090</v>
      </c>
      <c r="D5158">
        <v>18</v>
      </c>
    </row>
    <row r="5159" spans="1:4" x14ac:dyDescent="0.25">
      <c r="A5159" t="str">
        <f>T("   846249")</f>
        <v xml:space="preserve">   846249</v>
      </c>
      <c r="B5159" t="str">
        <f>T("   MACHINES, Y.C. -LES PRESSES-, À POINÇONNER OU À GRUGER, Y.C. LES MACHINES COMBINÉES À POINÇONNER ET À CISAILLER, POUR LE TRAVAIL DES MÉTAUX (AUTRES QU'À COMMANDE NUMÉRIQUE)")</f>
        <v xml:space="preserve">   MACHINES, Y.C. -LES PRESSES-, À POINÇONNER OU À GRUGER, Y.C. LES MACHINES COMBINÉES À POINÇONNER ET À CISAILLER, POUR LE TRAVAIL DES MÉTAUX (AUTRES QU'À COMMANDE NUMÉRIQUE)</v>
      </c>
      <c r="C5159">
        <v>48541</v>
      </c>
      <c r="D5159">
        <v>8</v>
      </c>
    </row>
    <row r="5160" spans="1:4" x14ac:dyDescent="0.25">
      <c r="A5160" t="str">
        <f>T("   846291")</f>
        <v xml:space="preserve">   846291</v>
      </c>
      <c r="B5160" t="str">
        <f>T("   Presses hydrauliques pour le travail des métaux ou des carbures métalliques (à l'excl. des presses à forger, à rouler, à cintrer, à dresses ou à planer)")</f>
        <v xml:space="preserve">   Presses hydrauliques pour le travail des métaux ou des carbures métalliques (à l'excl. des presses à forger, à rouler, à cintrer, à dresses ou à planer)</v>
      </c>
      <c r="C5160">
        <v>1444214</v>
      </c>
      <c r="D5160">
        <v>150</v>
      </c>
    </row>
    <row r="5161" spans="1:4" x14ac:dyDescent="0.25">
      <c r="A5161" t="str">
        <f>T("   846490")</f>
        <v xml:space="preserve">   846490</v>
      </c>
      <c r="B5161" t="s">
        <v>427</v>
      </c>
      <c r="C5161">
        <v>754341</v>
      </c>
      <c r="D5161">
        <v>81</v>
      </c>
    </row>
    <row r="5162" spans="1:4" x14ac:dyDescent="0.25">
      <c r="A5162" t="str">
        <f>T("   846591")</f>
        <v xml:space="preserve">   846591</v>
      </c>
      <c r="B5162" t="str">
        <f>T("   Machines à scier, pour le travail du bois, des matières plastiques dures, etc. (autres que pour emploi à la main)")</f>
        <v xml:space="preserve">   Machines à scier, pour le travail du bois, des matières plastiques dures, etc. (autres que pour emploi à la main)</v>
      </c>
      <c r="C5162">
        <v>7905382</v>
      </c>
      <c r="D5162">
        <v>1030</v>
      </c>
    </row>
    <row r="5163" spans="1:4" x14ac:dyDescent="0.25">
      <c r="A5163" t="str">
        <f>T("   846593")</f>
        <v xml:space="preserve">   846593</v>
      </c>
      <c r="B5163" t="str">
        <f>T("   Machines à meuler, à poncer ou à polir, pour le travail du bois, des matières plastiques dures, etc. (autres que machines pour emploi à la main)")</f>
        <v xml:space="preserve">   Machines à meuler, à poncer ou à polir, pour le travail du bois, des matières plastiques dures, etc. (autres que machines pour emploi à la main)</v>
      </c>
      <c r="C5163">
        <v>271404</v>
      </c>
      <c r="D5163">
        <v>112.61</v>
      </c>
    </row>
    <row r="5164" spans="1:4" x14ac:dyDescent="0.25">
      <c r="A5164" t="str">
        <f>T("   846595")</f>
        <v xml:space="preserve">   846595</v>
      </c>
      <c r="B5164" t="s">
        <v>429</v>
      </c>
      <c r="C5164">
        <v>1340126</v>
      </c>
      <c r="D5164">
        <v>950</v>
      </c>
    </row>
    <row r="5165" spans="1:4" x14ac:dyDescent="0.25">
      <c r="A5165" t="str">
        <f>T("   846599")</f>
        <v xml:space="preserve">   846599</v>
      </c>
      <c r="B5165" t="s">
        <v>430</v>
      </c>
      <c r="C5165">
        <v>4207549</v>
      </c>
      <c r="D5165">
        <v>5290.39</v>
      </c>
    </row>
    <row r="5166" spans="1:4" x14ac:dyDescent="0.25">
      <c r="A5166" t="str">
        <f>T("   846691")</f>
        <v xml:space="preserve">   846691</v>
      </c>
      <c r="B5166" t="str">
        <f>T("   Parties et accessoires pour machines-outils pour le travail de la pierre, des produits céramiques, du béton, etc., y.c. le travail à froid du verre, n.d.a.")</f>
        <v xml:space="preserve">   Parties et accessoires pour machines-outils pour le travail de la pierre, des produits céramiques, du béton, etc., y.c. le travail à froid du verre, n.d.a.</v>
      </c>
      <c r="C5166">
        <v>2057583</v>
      </c>
      <c r="D5166">
        <v>6549</v>
      </c>
    </row>
    <row r="5167" spans="1:4" x14ac:dyDescent="0.25">
      <c r="A5167" t="str">
        <f>T("   846693")</f>
        <v xml:space="preserve">   846693</v>
      </c>
      <c r="B5167" t="str">
        <f>T("   Parties et accessoires pour machines-outils pour le travail du métal avec enlèvement de métal, n.d.a.")</f>
        <v xml:space="preserve">   Parties et accessoires pour machines-outils pour le travail du métal avec enlèvement de métal, n.d.a.</v>
      </c>
      <c r="C5167">
        <v>21953112</v>
      </c>
      <c r="D5167">
        <v>763</v>
      </c>
    </row>
    <row r="5168" spans="1:4" x14ac:dyDescent="0.25">
      <c r="A5168" t="str">
        <f>T("   846694")</f>
        <v xml:space="preserve">   846694</v>
      </c>
      <c r="B5168" t="str">
        <f>T("   Parties et accessoires pour machines-outils pour le travail du métal avec enlèvement de matière, n.d.a.")</f>
        <v xml:space="preserve">   Parties et accessoires pour machines-outils pour le travail du métal avec enlèvement de matière, n.d.a.</v>
      </c>
      <c r="C5168">
        <v>2322351</v>
      </c>
      <c r="D5168">
        <v>1488</v>
      </c>
    </row>
    <row r="5169" spans="1:4" x14ac:dyDescent="0.25">
      <c r="A5169" t="str">
        <f>T("   846711")</f>
        <v xml:space="preserve">   846711</v>
      </c>
      <c r="B5169" t="str">
        <f>T("   Outils pneumatiques pour emploi à la main, rotatifs, -même à percussion-")</f>
        <v xml:space="preserve">   Outils pneumatiques pour emploi à la main, rotatifs, -même à percussion-</v>
      </c>
      <c r="C5169">
        <v>196788</v>
      </c>
      <c r="D5169">
        <v>752</v>
      </c>
    </row>
    <row r="5170" spans="1:4" x14ac:dyDescent="0.25">
      <c r="A5170" t="str">
        <f>T("   846719")</f>
        <v xml:space="preserve">   846719</v>
      </c>
      <c r="B5170" t="str">
        <f>T("   OUTILS PNEUMATIQUES, POUR EMPLOI À LA MAIN (À L'EXCL. DES OUTILS ROTATIFS) [01/01/1988-31/12/1994: OUTILS PNEUMATIQUES POUR EMPLOI A LA MAIN, AUTRES QUE ROTATIFS]")</f>
        <v xml:space="preserve">   OUTILS PNEUMATIQUES, POUR EMPLOI À LA MAIN (À L'EXCL. DES OUTILS ROTATIFS) [01/01/1988-31/12/1994: OUTILS PNEUMATIQUES POUR EMPLOI A LA MAIN, AUTRES QUE ROTATIFS]</v>
      </c>
      <c r="C5170">
        <v>3056119</v>
      </c>
      <c r="D5170">
        <v>675</v>
      </c>
    </row>
    <row r="5171" spans="1:4" x14ac:dyDescent="0.25">
      <c r="A5171" t="str">
        <f>T("   846721")</f>
        <v xml:space="preserve">   846721</v>
      </c>
      <c r="B5171" t="str">
        <f>T("   Perceuses à moteur électrique incorporé, pour emploi à la main, y.c. les perforatrices rotatives")</f>
        <v xml:space="preserve">   Perceuses à moteur électrique incorporé, pour emploi à la main, y.c. les perforatrices rotatives</v>
      </c>
      <c r="C5171">
        <v>12959488</v>
      </c>
      <c r="D5171">
        <v>5270</v>
      </c>
    </row>
    <row r="5172" spans="1:4" x14ac:dyDescent="0.25">
      <c r="A5172" t="str">
        <f>T("   846722")</f>
        <v xml:space="preserve">   846722</v>
      </c>
      <c r="B5172" t="str">
        <f>T("   Scies et tronçonneuses, à moteur électrique incorporé, pour emploi à la main")</f>
        <v xml:space="preserve">   Scies et tronçonneuses, à moteur électrique incorporé, pour emploi à la main</v>
      </c>
      <c r="C5172">
        <v>2228296</v>
      </c>
      <c r="D5172">
        <v>334</v>
      </c>
    </row>
    <row r="5173" spans="1:4" x14ac:dyDescent="0.25">
      <c r="A5173" t="str">
        <f>T("   846729")</f>
        <v xml:space="preserve">   846729</v>
      </c>
      <c r="B5173" t="str">
        <f>T("   Outils électromécaniques à moteur électrique incorporé, pour emploi à la main (autres que scies et perceuses)")</f>
        <v xml:space="preserve">   Outils électromécaniques à moteur électrique incorporé, pour emploi à la main (autres que scies et perceuses)</v>
      </c>
      <c r="C5173">
        <v>3727045</v>
      </c>
      <c r="D5173">
        <v>608</v>
      </c>
    </row>
    <row r="5174" spans="1:4" x14ac:dyDescent="0.25">
      <c r="A5174" t="str">
        <f>T("   846789")</f>
        <v xml:space="preserve">   846789</v>
      </c>
      <c r="B5174" t="str">
        <f>T("   Outils pour emploi à la main, hydrauliques ou à moteur non électrique incorporé (sauf tronçonneuses à chaîne et outils pneumatiques)")</f>
        <v xml:space="preserve">   Outils pour emploi à la main, hydrauliques ou à moteur non électrique incorporé (sauf tronçonneuses à chaîne et outils pneumatiques)</v>
      </c>
      <c r="C5174">
        <v>3220108</v>
      </c>
      <c r="D5174">
        <v>511</v>
      </c>
    </row>
    <row r="5175" spans="1:4" x14ac:dyDescent="0.25">
      <c r="A5175" t="str">
        <f>T("   846799")</f>
        <v xml:space="preserve">   846799</v>
      </c>
      <c r="B5175" t="str">
        <f>T("   Parties d'outils pour emploi à la main, hydrauliques ou à moteur électrique ou non électrique incorporé, n.d.a.")</f>
        <v xml:space="preserve">   Parties d'outils pour emploi à la main, hydrauliques ou à moteur électrique ou non électrique incorporé, n.d.a.</v>
      </c>
      <c r="C5175">
        <v>6871771</v>
      </c>
      <c r="D5175">
        <v>447</v>
      </c>
    </row>
    <row r="5176" spans="1:4" x14ac:dyDescent="0.25">
      <c r="A5176" t="str">
        <f>T("   846810")</f>
        <v xml:space="preserve">   846810</v>
      </c>
      <c r="B5176" t="str">
        <f>T("   Chalumeaux guidés à la main pour le brasage ou le soudage aux gaz")</f>
        <v xml:space="preserve">   Chalumeaux guidés à la main pour le brasage ou le soudage aux gaz</v>
      </c>
      <c r="C5176">
        <v>2263257</v>
      </c>
      <c r="D5176">
        <v>44</v>
      </c>
    </row>
    <row r="5177" spans="1:4" x14ac:dyDescent="0.25">
      <c r="A5177" t="str">
        <f>T("   846890")</f>
        <v xml:space="preserve">   846890</v>
      </c>
      <c r="B5177" t="str">
        <f>T("   Parties de machines et appareils pour le brasage, le soudage, la trempe artificielle non-électriques, n.d.a.")</f>
        <v xml:space="preserve">   Parties de machines et appareils pour le brasage, le soudage, la trempe artificielle non-électriques, n.d.a.</v>
      </c>
      <c r="C5177">
        <v>5061733</v>
      </c>
      <c r="D5177">
        <v>697</v>
      </c>
    </row>
    <row r="5178" spans="1:4" x14ac:dyDescent="0.25">
      <c r="A5178" t="str">
        <f>T("   846912")</f>
        <v xml:space="preserve">   846912</v>
      </c>
      <c r="B5178" t="s">
        <v>431</v>
      </c>
      <c r="C5178">
        <v>2437482</v>
      </c>
      <c r="D5178">
        <v>213</v>
      </c>
    </row>
    <row r="5179" spans="1:4" x14ac:dyDescent="0.25">
      <c r="A5179" t="str">
        <f>T("   846930")</f>
        <v xml:space="preserve">   846930</v>
      </c>
      <c r="B5179" t="str">
        <f>T("   Machines à écrire non-électriques")</f>
        <v xml:space="preserve">   Machines à écrire non-électriques</v>
      </c>
      <c r="C5179">
        <v>7872</v>
      </c>
      <c r="D5179">
        <v>35</v>
      </c>
    </row>
    <row r="5180" spans="1:4" x14ac:dyDescent="0.25">
      <c r="A5180" t="str">
        <f>T("   847010")</f>
        <v xml:space="preserve">   847010</v>
      </c>
      <c r="B5180" t="s">
        <v>432</v>
      </c>
      <c r="C5180">
        <v>8383037</v>
      </c>
      <c r="D5180">
        <v>1705</v>
      </c>
    </row>
    <row r="5181" spans="1:4" x14ac:dyDescent="0.25">
      <c r="A5181" t="str">
        <f>T("   847029")</f>
        <v xml:space="preserve">   847029</v>
      </c>
      <c r="B5181" t="str">
        <f>T("   Machines à calculer électroniques sans organe imprimant, raccordées au réseau (à l'excl. des machines automatiques de traitement de l'information du n° 8471)")</f>
        <v xml:space="preserve">   Machines à calculer électroniques sans organe imprimant, raccordées au réseau (à l'excl. des machines automatiques de traitement de l'information du n° 8471)</v>
      </c>
      <c r="C5181">
        <v>541823</v>
      </c>
      <c r="D5181">
        <v>13</v>
      </c>
    </row>
    <row r="5182" spans="1:4" x14ac:dyDescent="0.25">
      <c r="A5182" t="str">
        <f>T("   847030")</f>
        <v xml:space="preserve">   847030</v>
      </c>
      <c r="B5182" t="str">
        <f>T("   Machines à calculer autres qu'électroniques")</f>
        <v xml:space="preserve">   Machines à calculer autres qu'électroniques</v>
      </c>
      <c r="C5182">
        <v>615074</v>
      </c>
      <c r="D5182">
        <v>1750</v>
      </c>
    </row>
    <row r="5183" spans="1:4" x14ac:dyDescent="0.25">
      <c r="A5183" t="str">
        <f>T("   847050")</f>
        <v xml:space="preserve">   847050</v>
      </c>
      <c r="B5183" t="str">
        <f>T("   Caisses enregistreuses comportant un dispositif de calcul")</f>
        <v xml:space="preserve">   Caisses enregistreuses comportant un dispositif de calcul</v>
      </c>
      <c r="C5183">
        <v>240081</v>
      </c>
      <c r="D5183">
        <v>72</v>
      </c>
    </row>
    <row r="5184" spans="1:4" x14ac:dyDescent="0.25">
      <c r="A5184" t="str">
        <f>T("   847090")</f>
        <v xml:space="preserve">   847090</v>
      </c>
      <c r="B5184" t="str">
        <f>T("   Machines à affranchir, à établir les tickets et simil., avec dispositif de calcul (à l'excl. des machines comptables, des caisses enregistreuses et des distributeurs automatiques)")</f>
        <v xml:space="preserve">   Machines à affranchir, à établir les tickets et simil., avec dispositif de calcul (à l'excl. des machines comptables, des caisses enregistreuses et des distributeurs automatiques)</v>
      </c>
      <c r="C5184">
        <v>3059945</v>
      </c>
      <c r="D5184">
        <v>31.25</v>
      </c>
    </row>
    <row r="5185" spans="1:4" x14ac:dyDescent="0.25">
      <c r="A5185" t="str">
        <f>T("   847110")</f>
        <v xml:space="preserve">   847110</v>
      </c>
      <c r="B5185" t="str">
        <f>T("   Machines automatiques de traitement de l'information, analogiques ou hybrides")</f>
        <v xml:space="preserve">   Machines automatiques de traitement de l'information, analogiques ou hybrides</v>
      </c>
      <c r="C5185">
        <v>16698117</v>
      </c>
      <c r="D5185">
        <v>18724</v>
      </c>
    </row>
    <row r="5186" spans="1:4" x14ac:dyDescent="0.25">
      <c r="A5186" t="str">
        <f>T("   847130")</f>
        <v xml:space="preserve">   847130</v>
      </c>
      <c r="B5186" t="str">
        <f>T("   Machines automatiques de traitement de l'information numériques, portatives, d'un poids &lt;= 10 kg, comportant au moins une unité centrale de traitement, un clavier et un écran (à l'excl. des unités périphériques)")</f>
        <v xml:space="preserve">   Machines automatiques de traitement de l'information numériques, portatives, d'un poids &lt;= 10 kg, comportant au moins une unité centrale de traitement, un clavier et un écran (à l'excl. des unités périphériques)</v>
      </c>
      <c r="C5186">
        <v>52959558</v>
      </c>
      <c r="D5186">
        <v>16701</v>
      </c>
    </row>
    <row r="5187" spans="1:4" x14ac:dyDescent="0.25">
      <c r="A5187" t="str">
        <f>T("   847141")</f>
        <v xml:space="preserve">   847141</v>
      </c>
      <c r="B5187" t="s">
        <v>433</v>
      </c>
      <c r="C5187">
        <v>134861563</v>
      </c>
      <c r="D5187">
        <v>25158</v>
      </c>
    </row>
    <row r="5188" spans="1:4" x14ac:dyDescent="0.25">
      <c r="A5188" t="str">
        <f>T("   847149")</f>
        <v xml:space="preserve">   847149</v>
      </c>
      <c r="B5188" t="s">
        <v>434</v>
      </c>
      <c r="C5188">
        <v>258838587</v>
      </c>
      <c r="D5188">
        <v>41754</v>
      </c>
    </row>
    <row r="5189" spans="1:4" x14ac:dyDescent="0.25">
      <c r="A5189" t="str">
        <f>T("   847150")</f>
        <v xml:space="preserve">   847150</v>
      </c>
      <c r="B5189" t="s">
        <v>435</v>
      </c>
      <c r="C5189">
        <v>8582751</v>
      </c>
      <c r="D5189">
        <v>128</v>
      </c>
    </row>
    <row r="5190" spans="1:4" x14ac:dyDescent="0.25">
      <c r="A5190" t="str">
        <f>T("   847160")</f>
        <v xml:space="preserve">   847160</v>
      </c>
      <c r="B5190" t="str">
        <f>T("   UNITÉS D'ENTRÉE OU DE SORTIE POUR MACHINES AUTOMATIQUES DE TRAITEMENT DE L'INFORMATION, POUVANT COMPORTER, SOUS LA MÊME ENVELOPPE, DES UNITÉS DE MÉMOIRE")</f>
        <v xml:space="preserve">   UNITÉS D'ENTRÉE OU DE SORTIE POUR MACHINES AUTOMATIQUES DE TRAITEMENT DE L'INFORMATION, POUVANT COMPORTER, SOUS LA MÊME ENVELOPPE, DES UNITÉS DE MÉMOIRE</v>
      </c>
      <c r="C5190">
        <v>2873855</v>
      </c>
      <c r="D5190">
        <v>2014.5</v>
      </c>
    </row>
    <row r="5191" spans="1:4" x14ac:dyDescent="0.25">
      <c r="A5191" t="str">
        <f>T("   847170")</f>
        <v xml:space="preserve">   847170</v>
      </c>
      <c r="B5191" t="str">
        <f>T("   UNITÉS DE MÉMOIRE POUR MACHINES AUTOMATIQUES DE TRAITEMENT DE L'INFORMATION")</f>
        <v xml:space="preserve">   UNITÉS DE MÉMOIRE POUR MACHINES AUTOMATIQUES DE TRAITEMENT DE L'INFORMATION</v>
      </c>
      <c r="C5191">
        <v>31126857</v>
      </c>
      <c r="D5191">
        <v>1311.39</v>
      </c>
    </row>
    <row r="5192" spans="1:4" x14ac:dyDescent="0.25">
      <c r="A5192" t="str">
        <f>T("   847180")</f>
        <v xml:space="preserve">   847180</v>
      </c>
      <c r="B5192" t="str">
        <f>T("   Unités de machines automatiques de traitement de l'information, numériques (à l'excl. des unités de traitement, unités d'entrée ou de sortie et unités de mémoire)")</f>
        <v xml:space="preserve">   Unités de machines automatiques de traitement de l'information, numériques (à l'excl. des unités de traitement, unités d'entrée ou de sortie et unités de mémoire)</v>
      </c>
      <c r="C5192">
        <v>963925058</v>
      </c>
      <c r="D5192">
        <v>119226.5</v>
      </c>
    </row>
    <row r="5193" spans="1:4" x14ac:dyDescent="0.25">
      <c r="A5193" t="str">
        <f>T("   847190")</f>
        <v xml:space="preserve">   847190</v>
      </c>
      <c r="B5193"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5193">
        <v>536192797</v>
      </c>
      <c r="D5193">
        <v>99256.7</v>
      </c>
    </row>
    <row r="5194" spans="1:4" x14ac:dyDescent="0.25">
      <c r="A5194" t="str">
        <f>T("   847210")</f>
        <v xml:space="preserve">   847210</v>
      </c>
      <c r="B5194" t="str">
        <f>T("   Duplicateurs hectographiques ou à stencils (sauf imprimantes, photocopieuses et appareils à procédé thermique de reproduction)")</f>
        <v xml:space="preserve">   Duplicateurs hectographiques ou à stencils (sauf imprimantes, photocopieuses et appareils à procédé thermique de reproduction)</v>
      </c>
      <c r="C5194">
        <v>97738</v>
      </c>
      <c r="D5194">
        <v>100</v>
      </c>
    </row>
    <row r="5195" spans="1:4" x14ac:dyDescent="0.25">
      <c r="A5195" t="str">
        <f>T("   847220")</f>
        <v xml:space="preserve">   847220</v>
      </c>
      <c r="B5195" t="s">
        <v>436</v>
      </c>
      <c r="C5195">
        <v>227143</v>
      </c>
      <c r="D5195">
        <v>500</v>
      </c>
    </row>
    <row r="5196" spans="1:4" x14ac:dyDescent="0.25">
      <c r="A5196" t="str">
        <f>T("   847290")</f>
        <v xml:space="preserve">   847290</v>
      </c>
      <c r="B5196" t="str">
        <f>T("   Machines et appareils de bureau, n.d.a.")</f>
        <v xml:space="preserve">   Machines et appareils de bureau, n.d.a.</v>
      </c>
      <c r="C5196">
        <v>174939699</v>
      </c>
      <c r="D5196">
        <v>34370</v>
      </c>
    </row>
    <row r="5197" spans="1:4" x14ac:dyDescent="0.25">
      <c r="A5197" t="str">
        <f>T("   847330")</f>
        <v xml:space="preserve">   847330</v>
      </c>
      <c r="B5197" t="str">
        <f>T("   Parties et accessoires pour machines automatiques de traitement de l'information ou pour autres machines du n° 8471, n.d.a.")</f>
        <v xml:space="preserve">   Parties et accessoires pour machines automatiques de traitement de l'information ou pour autres machines du n° 8471, n.d.a.</v>
      </c>
      <c r="C5197">
        <v>64244545</v>
      </c>
      <c r="D5197">
        <v>3821.5</v>
      </c>
    </row>
    <row r="5198" spans="1:4" x14ac:dyDescent="0.25">
      <c r="A5198" t="str">
        <f>T("   847340")</f>
        <v xml:space="preserve">   847340</v>
      </c>
      <c r="B5198" t="str">
        <f>T("   Parties et accessoires pour autres machines et appareils de bureau du n° 8472, n.d.a.")</f>
        <v xml:space="preserve">   Parties et accessoires pour autres machines et appareils de bureau du n° 8472, n.d.a.</v>
      </c>
      <c r="C5198">
        <v>8613721</v>
      </c>
      <c r="D5198">
        <v>131</v>
      </c>
    </row>
    <row r="5199" spans="1:4" x14ac:dyDescent="0.25">
      <c r="A5199" t="str">
        <f>T("   847350")</f>
        <v xml:space="preserve">   847350</v>
      </c>
      <c r="B5199" t="str">
        <f>T("   Parties et accessoires qui peuvent être utilisés indifféremment avec les machines ou appareils de plusieurs du n° 8469 à 8472, n.d.a.")</f>
        <v xml:space="preserve">   Parties et accessoires qui peuvent être utilisés indifféremment avec les machines ou appareils de plusieurs du n° 8469 à 8472, n.d.a.</v>
      </c>
      <c r="C5199">
        <v>5123048</v>
      </c>
      <c r="D5199">
        <v>407</v>
      </c>
    </row>
    <row r="5200" spans="1:4" x14ac:dyDescent="0.25">
      <c r="A5200" t="str">
        <f>T("   847431")</f>
        <v xml:space="preserve">   847431</v>
      </c>
      <c r="B5200" t="str">
        <f>T("   Bétonnières et appareils à gâcher le ciment (sauf montés sur wagons de chemins de fer ou sur châssis de véhicules automobiles)")</f>
        <v xml:space="preserve">   Bétonnières et appareils à gâcher le ciment (sauf montés sur wagons de chemins de fer ou sur châssis de véhicules automobiles)</v>
      </c>
      <c r="C5200">
        <v>123818288</v>
      </c>
      <c r="D5200">
        <v>31409</v>
      </c>
    </row>
    <row r="5201" spans="1:4" x14ac:dyDescent="0.25">
      <c r="A5201" t="str">
        <f>T("   847439")</f>
        <v xml:space="preserve">   847439</v>
      </c>
      <c r="B5201" t="str">
        <f>T("   Machines et appareils à mélanger ou à malaxer les matières minérales solides, y.c. -les poudres et les pâtes- (sauf bétonnières et appareils à gâcher le ciment, machines à mélanger les matières minérales au bitume et sauf calandres)")</f>
        <v xml:space="preserve">   Machines et appareils à mélanger ou à malaxer les matières minérales solides, y.c. -les poudres et les pâtes- (sauf bétonnières et appareils à gâcher le ciment, machines à mélanger les matières minérales au bitume et sauf calandres)</v>
      </c>
      <c r="C5201">
        <v>972413</v>
      </c>
      <c r="D5201">
        <v>423</v>
      </c>
    </row>
    <row r="5202" spans="1:4" x14ac:dyDescent="0.25">
      <c r="A5202" t="str">
        <f>T("   847480")</f>
        <v xml:space="preserve">   847480</v>
      </c>
      <c r="B5202" t="s">
        <v>437</v>
      </c>
      <c r="C5202">
        <v>32194902</v>
      </c>
      <c r="D5202">
        <v>6189</v>
      </c>
    </row>
    <row r="5203" spans="1:4" x14ac:dyDescent="0.25">
      <c r="A5203" t="str">
        <f>T("   847490")</f>
        <v xml:space="preserve">   847490</v>
      </c>
      <c r="B5203" t="str">
        <f>T("   Parties des machines et appareils pour le travail des matières minérales du n° 8474, n.d.a.")</f>
        <v xml:space="preserve">   Parties des machines et appareils pour le travail des matières minérales du n° 8474, n.d.a.</v>
      </c>
      <c r="C5203">
        <v>38844313</v>
      </c>
      <c r="D5203">
        <v>5177</v>
      </c>
    </row>
    <row r="5204" spans="1:4" x14ac:dyDescent="0.25">
      <c r="A5204" t="str">
        <f>T("   847780")</f>
        <v xml:space="preserve">   847780</v>
      </c>
      <c r="B5204" t="str">
        <f>T("   MACHINES ET APPAREILS POUR LE TRAVAIL DU CAOUTCHOUC OU DES MATIÈRES PLASTIQUES OU POUR LA FABRICATION DE PRODUITS EN CES MATIÈRES N.D.A. DANS LE CHAPITRE 84")</f>
        <v xml:space="preserve">   MACHINES ET APPAREILS POUR LE TRAVAIL DU CAOUTCHOUC OU DES MATIÈRES PLASTIQUES OU POUR LA FABRICATION DE PRODUITS EN CES MATIÈRES N.D.A. DANS LE CHAPITRE 84</v>
      </c>
      <c r="C5204">
        <v>360000</v>
      </c>
      <c r="D5204">
        <v>2000</v>
      </c>
    </row>
    <row r="5205" spans="1:4" x14ac:dyDescent="0.25">
      <c r="A5205" t="str">
        <f>T("   847790")</f>
        <v xml:space="preserve">   847790</v>
      </c>
      <c r="B5205" t="str">
        <f>T("   Parties des machines et appareils pour le travail du caoutchouc ou des matières plastiques ou pour la fabrication de produits en ces matières, n.d.a.")</f>
        <v xml:space="preserve">   Parties des machines et appareils pour le travail du caoutchouc ou des matières plastiques ou pour la fabrication de produits en ces matières, n.d.a.</v>
      </c>
      <c r="C5205">
        <v>14114291</v>
      </c>
      <c r="D5205">
        <v>156</v>
      </c>
    </row>
    <row r="5206" spans="1:4" x14ac:dyDescent="0.25">
      <c r="A5206" t="str">
        <f>T("   847910")</f>
        <v xml:space="preserve">   847910</v>
      </c>
      <c r="B5206" t="str">
        <f>T("   Machines et appareils pour les travaux publics, le bâtiment ou les travaux analogues, n.d.a.")</f>
        <v xml:space="preserve">   Machines et appareils pour les travaux publics, le bâtiment ou les travaux analogues, n.d.a.</v>
      </c>
      <c r="C5206">
        <v>8873292</v>
      </c>
      <c r="D5206">
        <v>8165</v>
      </c>
    </row>
    <row r="5207" spans="1:4" x14ac:dyDescent="0.25">
      <c r="A5207" t="str">
        <f>T("   847920")</f>
        <v xml:space="preserve">   847920</v>
      </c>
      <c r="B5207" t="s">
        <v>438</v>
      </c>
      <c r="C5207">
        <v>2818529</v>
      </c>
      <c r="D5207">
        <v>27</v>
      </c>
    </row>
    <row r="5208" spans="1:4" x14ac:dyDescent="0.25">
      <c r="A5208" t="str">
        <f>T("   847981")</f>
        <v xml:space="preserve">   847981</v>
      </c>
      <c r="B5208" t="s">
        <v>439</v>
      </c>
      <c r="C5208">
        <v>3150209</v>
      </c>
      <c r="D5208">
        <v>4</v>
      </c>
    </row>
    <row r="5209" spans="1:4" x14ac:dyDescent="0.25">
      <c r="A5209" t="str">
        <f>T("   847982")</f>
        <v xml:space="preserve">   847982</v>
      </c>
      <c r="B5209" t="str">
        <f>T("   Machines et appareils à mélanger, malaxer, concasser, broyer, cribler, tamiser, homogénéiser, émulsionner ou brasser, n.d.a. (à l'excl. des robots industriels)")</f>
        <v xml:space="preserve">   Machines et appareils à mélanger, malaxer, concasser, broyer, cribler, tamiser, homogénéiser, émulsionner ou brasser, n.d.a. (à l'excl. des robots industriels)</v>
      </c>
      <c r="C5209">
        <v>1750000</v>
      </c>
      <c r="D5209">
        <v>15</v>
      </c>
    </row>
    <row r="5210" spans="1:4" x14ac:dyDescent="0.25">
      <c r="A5210" t="str">
        <f>T("   847989")</f>
        <v xml:space="preserve">   847989</v>
      </c>
      <c r="B5210" t="str">
        <f>T("   Machines et appareils, y.c. les appareils mécaniques, n.d.a.")</f>
        <v xml:space="preserve">   Machines et appareils, y.c. les appareils mécaniques, n.d.a.</v>
      </c>
      <c r="C5210">
        <v>122772787</v>
      </c>
      <c r="D5210">
        <v>11730</v>
      </c>
    </row>
    <row r="5211" spans="1:4" x14ac:dyDescent="0.25">
      <c r="A5211" t="str">
        <f>T("   847990")</f>
        <v xml:space="preserve">   847990</v>
      </c>
      <c r="B5211" t="str">
        <f>T("   Parties de machines et appareils, y.c. les appareils mécaniques, n.d.a.")</f>
        <v xml:space="preserve">   Parties de machines et appareils, y.c. les appareils mécaniques, n.d.a.</v>
      </c>
      <c r="C5211">
        <v>73990185</v>
      </c>
      <c r="D5211">
        <v>3606</v>
      </c>
    </row>
    <row r="5212" spans="1:4" x14ac:dyDescent="0.25">
      <c r="A5212" t="str">
        <f>T("   848071")</f>
        <v xml:space="preserve">   848071</v>
      </c>
      <c r="B5212" t="str">
        <f>T("   Moules pour le caoutchouc ou les matières plastiques, pour le moulage par injection ou par compression")</f>
        <v xml:space="preserve">   Moules pour le caoutchouc ou les matières plastiques, pour le moulage par injection ou par compression</v>
      </c>
      <c r="C5212">
        <v>47332105</v>
      </c>
      <c r="D5212">
        <v>680</v>
      </c>
    </row>
    <row r="5213" spans="1:4" x14ac:dyDescent="0.25">
      <c r="A5213" t="str">
        <f>T("   848079")</f>
        <v xml:space="preserve">   848079</v>
      </c>
      <c r="B5213" t="s">
        <v>441</v>
      </c>
      <c r="C5213">
        <v>397947</v>
      </c>
      <c r="D5213">
        <v>65</v>
      </c>
    </row>
    <row r="5214" spans="1:4" x14ac:dyDescent="0.25">
      <c r="A5214" t="str">
        <f>T("   848110")</f>
        <v xml:space="preserve">   848110</v>
      </c>
      <c r="B5214" t="str">
        <f>T("   Détendeurs")</f>
        <v xml:space="preserve">   Détendeurs</v>
      </c>
      <c r="C5214">
        <v>13216239</v>
      </c>
      <c r="D5214">
        <v>2037.5</v>
      </c>
    </row>
    <row r="5215" spans="1:4" x14ac:dyDescent="0.25">
      <c r="A5215" t="str">
        <f>T("   848120")</f>
        <v xml:space="preserve">   848120</v>
      </c>
      <c r="B5215" t="str">
        <f>T("   Valves pour transmissions oléohydrauliques ou pneumatiques")</f>
        <v xml:space="preserve">   Valves pour transmissions oléohydrauliques ou pneumatiques</v>
      </c>
      <c r="C5215">
        <v>22069790</v>
      </c>
      <c r="D5215">
        <v>438</v>
      </c>
    </row>
    <row r="5216" spans="1:4" x14ac:dyDescent="0.25">
      <c r="A5216" t="str">
        <f>T("   848130")</f>
        <v xml:space="preserve">   848130</v>
      </c>
      <c r="B5216" t="str">
        <f>T("   Clapets et soupapes de retenue, pour tuyauteries, chaudières, réservoirs, cuves ou contenants simil.")</f>
        <v xml:space="preserve">   Clapets et soupapes de retenue, pour tuyauteries, chaudières, réservoirs, cuves ou contenants simil.</v>
      </c>
      <c r="C5216">
        <v>36759540</v>
      </c>
      <c r="D5216">
        <v>4133</v>
      </c>
    </row>
    <row r="5217" spans="1:4" x14ac:dyDescent="0.25">
      <c r="A5217" t="str">
        <f>T("   848140")</f>
        <v xml:space="preserve">   848140</v>
      </c>
      <c r="B5217" t="str">
        <f>T("   Soupapes de trop-plein ou de sûreté")</f>
        <v xml:space="preserve">   Soupapes de trop-plein ou de sûreté</v>
      </c>
      <c r="C5217">
        <v>18510503</v>
      </c>
      <c r="D5217">
        <v>518</v>
      </c>
    </row>
    <row r="5218" spans="1:4" x14ac:dyDescent="0.25">
      <c r="A5218" t="str">
        <f>T("   848180")</f>
        <v xml:space="preserve">   848180</v>
      </c>
      <c r="B5218" t="str">
        <f>T("   Articles de robinetterie et organes simil. pour tuyauteries, etc. (à l'excl. des détendeurs, valves pour transmissions oléohydrauliques ou pneumatiques, clapets et soupapes de retenue et sauf soupapes de trop-plein ou de sûreté)")</f>
        <v xml:space="preserve">   Articles de robinetterie et organes simil. pour tuyauteries, etc. (à l'excl. des détendeurs, valves pour transmissions oléohydrauliques ou pneumatiques, clapets et soupapes de retenue et sauf soupapes de trop-plein ou de sûreté)</v>
      </c>
      <c r="C5218">
        <v>225692004</v>
      </c>
      <c r="D5218">
        <v>98505.5</v>
      </c>
    </row>
    <row r="5219" spans="1:4" x14ac:dyDescent="0.25">
      <c r="A5219" t="str">
        <f>T("   848190")</f>
        <v xml:space="preserve">   848190</v>
      </c>
      <c r="B5219" t="str">
        <f>T("   Parties d'articles de robinetterie et organes simil. pour tuyauterie, etc., n.d.a.")</f>
        <v xml:space="preserve">   Parties d'articles de robinetterie et organes simil. pour tuyauterie, etc., n.d.a.</v>
      </c>
      <c r="C5219">
        <v>15775896</v>
      </c>
      <c r="D5219">
        <v>2647</v>
      </c>
    </row>
    <row r="5220" spans="1:4" x14ac:dyDescent="0.25">
      <c r="A5220" t="str">
        <f>T("   848210")</f>
        <v xml:space="preserve">   848210</v>
      </c>
      <c r="B5220" t="str">
        <f>T("   Roulements à billes")</f>
        <v xml:space="preserve">   Roulements à billes</v>
      </c>
      <c r="C5220">
        <v>70941516</v>
      </c>
      <c r="D5220">
        <v>9622.6</v>
      </c>
    </row>
    <row r="5221" spans="1:4" x14ac:dyDescent="0.25">
      <c r="A5221" t="str">
        <f>T("   848220")</f>
        <v xml:space="preserve">   848220</v>
      </c>
      <c r="B5221" t="str">
        <f>T("   Roulements à rouleaux coniques, y.c. les assemblages de cônes et rouleaux coniques")</f>
        <v xml:space="preserve">   Roulements à rouleaux coniques, y.c. les assemblages de cônes et rouleaux coniques</v>
      </c>
      <c r="C5221">
        <v>6151264</v>
      </c>
      <c r="D5221">
        <v>613.79999999999995</v>
      </c>
    </row>
    <row r="5222" spans="1:4" x14ac:dyDescent="0.25">
      <c r="A5222" t="str">
        <f>T("   848230")</f>
        <v xml:space="preserve">   848230</v>
      </c>
      <c r="B5222" t="str">
        <f>T("   Roulements à rouleaux en forme de tonneau")</f>
        <v xml:space="preserve">   Roulements à rouleaux en forme de tonneau</v>
      </c>
      <c r="C5222">
        <v>991812</v>
      </c>
      <c r="D5222">
        <v>86</v>
      </c>
    </row>
    <row r="5223" spans="1:4" x14ac:dyDescent="0.25">
      <c r="A5223" t="str">
        <f>T("   848240")</f>
        <v xml:space="preserve">   848240</v>
      </c>
      <c r="B5223" t="str">
        <f>T("   Roulements à aiguilles")</f>
        <v xml:space="preserve">   Roulements à aiguilles</v>
      </c>
      <c r="C5223">
        <v>1402442</v>
      </c>
      <c r="D5223">
        <v>138</v>
      </c>
    </row>
    <row r="5224" spans="1:4" x14ac:dyDescent="0.25">
      <c r="A5224" t="str">
        <f>T("   848250")</f>
        <v xml:space="preserve">   848250</v>
      </c>
      <c r="B5224" t="str">
        <f>T("   Roulements à rouleaux cylindriques")</f>
        <v xml:space="preserve">   Roulements à rouleaux cylindriques</v>
      </c>
      <c r="C5224">
        <v>1579329</v>
      </c>
      <c r="D5224">
        <v>66</v>
      </c>
    </row>
    <row r="5225" spans="1:4" x14ac:dyDescent="0.25">
      <c r="A5225" t="str">
        <f>T("   848280")</f>
        <v xml:space="preserve">   848280</v>
      </c>
      <c r="B5225" t="s">
        <v>442</v>
      </c>
      <c r="C5225">
        <v>57593334</v>
      </c>
      <c r="D5225">
        <v>4233.8999999999996</v>
      </c>
    </row>
    <row r="5226" spans="1:4" x14ac:dyDescent="0.25">
      <c r="A5226" t="str">
        <f>T("   848291")</f>
        <v xml:space="preserve">   848291</v>
      </c>
      <c r="B5226" t="str">
        <f>T("   Billes, galets, rouleaux et aiguilles pour roulements (sauf billes en acier du n° 7326)")</f>
        <v xml:space="preserve">   Billes, galets, rouleaux et aiguilles pour roulements (sauf billes en acier du n° 7326)</v>
      </c>
      <c r="C5226">
        <v>14025029</v>
      </c>
      <c r="D5226">
        <v>1135</v>
      </c>
    </row>
    <row r="5227" spans="1:4" x14ac:dyDescent="0.25">
      <c r="A5227" t="str">
        <f>T("   848299")</f>
        <v xml:space="preserve">   848299</v>
      </c>
      <c r="B5227" t="str">
        <f>T("   Parties de roulements à billes, à galets, à rouleaux ou à aiguilles (à l'excl. de leur organe de roulement), n.d.a.")</f>
        <v xml:space="preserve">   Parties de roulements à billes, à galets, à rouleaux ou à aiguilles (à l'excl. de leur organe de roulement), n.d.a.</v>
      </c>
      <c r="C5227">
        <v>27029186</v>
      </c>
      <c r="D5227">
        <v>416</v>
      </c>
    </row>
    <row r="5228" spans="1:4" x14ac:dyDescent="0.25">
      <c r="A5228" t="str">
        <f>T("   848310")</f>
        <v xml:space="preserve">   848310</v>
      </c>
      <c r="B5228" t="str">
        <f>T("   Arbres de transmission pour machines, y.c. -les arbres à cames et les vilebrequins- et manivelles")</f>
        <v xml:space="preserve">   Arbres de transmission pour machines, y.c. -les arbres à cames et les vilebrequins- et manivelles</v>
      </c>
      <c r="C5228">
        <v>10522853</v>
      </c>
      <c r="D5228">
        <v>327</v>
      </c>
    </row>
    <row r="5229" spans="1:4" x14ac:dyDescent="0.25">
      <c r="A5229" t="str">
        <f>T("   848320")</f>
        <v xml:space="preserve">   848320</v>
      </c>
      <c r="B5229" t="str">
        <f>T("   Paliers à roulements incorporés, pour machines")</f>
        <v xml:space="preserve">   Paliers à roulements incorporés, pour machines</v>
      </c>
      <c r="C5229">
        <v>34323293</v>
      </c>
      <c r="D5229">
        <v>1530</v>
      </c>
    </row>
    <row r="5230" spans="1:4" x14ac:dyDescent="0.25">
      <c r="A5230" t="str">
        <f>T("   848330")</f>
        <v xml:space="preserve">   848330</v>
      </c>
      <c r="B5230" t="str">
        <f>T("   Paliers pour machines, sans roulements incorporés; coussinets et coquilles de coussinets pour machines")</f>
        <v xml:space="preserve">   Paliers pour machines, sans roulements incorporés; coussinets et coquilles de coussinets pour machines</v>
      </c>
      <c r="C5230">
        <v>30930955</v>
      </c>
      <c r="D5230">
        <v>1679.3</v>
      </c>
    </row>
    <row r="5231" spans="1:4" x14ac:dyDescent="0.25">
      <c r="A5231" t="str">
        <f>T("   848340")</f>
        <v xml:space="preserve">   848340</v>
      </c>
      <c r="B5231" t="s">
        <v>443</v>
      </c>
      <c r="C5231">
        <v>46000034</v>
      </c>
      <c r="D5231">
        <v>1768</v>
      </c>
    </row>
    <row r="5232" spans="1:4" x14ac:dyDescent="0.25">
      <c r="A5232" t="str">
        <f>T("   848350")</f>
        <v xml:space="preserve">   848350</v>
      </c>
      <c r="B5232" t="str">
        <f>T("   Volants et poulies, y.c. les poulies à moufles")</f>
        <v xml:space="preserve">   Volants et poulies, y.c. les poulies à moufles</v>
      </c>
      <c r="C5232">
        <v>1805326</v>
      </c>
      <c r="D5232">
        <v>110</v>
      </c>
    </row>
    <row r="5233" spans="1:4" x14ac:dyDescent="0.25">
      <c r="A5233" t="str">
        <f>T("   848360")</f>
        <v xml:space="preserve">   848360</v>
      </c>
      <c r="B5233" t="str">
        <f>T("   Embrayages et organes d'accouplement, y.c. les joints d'articulation, pour machines")</f>
        <v xml:space="preserve">   Embrayages et organes d'accouplement, y.c. les joints d'articulation, pour machines</v>
      </c>
      <c r="C5233">
        <v>42245468</v>
      </c>
      <c r="D5233">
        <v>5553</v>
      </c>
    </row>
    <row r="5234" spans="1:4" x14ac:dyDescent="0.25">
      <c r="A5234" t="str">
        <f>T("   848390")</f>
        <v xml:space="preserve">   848390</v>
      </c>
      <c r="B5234" t="str">
        <f>T("   Roues dentées et autres organes élémentaires de transmission présentés séparément; parties d'organes mécaniques, d'organes de transmission, d'engrenages, de variateurs de vitesses, d'organes d'accouplement et d'autres organes du n° 8483, n.d.a.")</f>
        <v xml:space="preserve">   Roues dentées et autres organes élémentaires de transmission présentés séparément; parties d'organes mécaniques, d'organes de transmission, d'engrenages, de variateurs de vitesses, d'organes d'accouplement et d'autres organes du n° 8483, n.d.a.</v>
      </c>
      <c r="C5234">
        <v>86331916</v>
      </c>
      <c r="D5234">
        <v>3285.5</v>
      </c>
    </row>
    <row r="5235" spans="1:4" x14ac:dyDescent="0.25">
      <c r="A5235" t="str">
        <f>T("   848410")</f>
        <v xml:space="preserve">   848410</v>
      </c>
      <c r="B5235" t="str">
        <f>T("   Joints métalloplastiques")</f>
        <v xml:space="preserve">   Joints métalloplastiques</v>
      </c>
      <c r="C5235">
        <v>4564827</v>
      </c>
      <c r="D5235">
        <v>321</v>
      </c>
    </row>
    <row r="5236" spans="1:4" x14ac:dyDescent="0.25">
      <c r="A5236" t="str">
        <f>T("   848420")</f>
        <v xml:space="preserve">   848420</v>
      </c>
      <c r="B5236" t="str">
        <f>T("   Joints d'étanchéité mécaniques")</f>
        <v xml:space="preserve">   Joints d'étanchéité mécaniques</v>
      </c>
      <c r="C5236">
        <v>822757</v>
      </c>
      <c r="D5236">
        <v>4</v>
      </c>
    </row>
    <row r="5237" spans="1:4" x14ac:dyDescent="0.25">
      <c r="A5237" t="str">
        <f>T("   848490")</f>
        <v xml:space="preserve">   848490</v>
      </c>
      <c r="B5237" t="str">
        <f>T("   Jeux ou assortiments de joints de composition différente présentés en pochettes, enveloppes ou emballages analogues")</f>
        <v xml:space="preserve">   Jeux ou assortiments de joints de composition différente présentés en pochettes, enveloppes ou emballages analogues</v>
      </c>
      <c r="C5237">
        <v>113165908</v>
      </c>
      <c r="D5237">
        <v>4054.4</v>
      </c>
    </row>
    <row r="5238" spans="1:4" x14ac:dyDescent="0.25">
      <c r="A5238" t="str">
        <f>T("   848590")</f>
        <v xml:space="preserve">   848590</v>
      </c>
      <c r="B5238" t="str">
        <f>T("   Parties de machines et appareils du chapitre 84, sans caractéristiques spéciales d'utilisation, n.d.a.")</f>
        <v xml:space="preserve">   Parties de machines et appareils du chapitre 84, sans caractéristiques spéciales d'utilisation, n.d.a.</v>
      </c>
      <c r="C5238">
        <v>27352214</v>
      </c>
      <c r="D5238">
        <v>1585</v>
      </c>
    </row>
    <row r="5239" spans="1:4" x14ac:dyDescent="0.25">
      <c r="A5239" t="str">
        <f>T("   850110")</f>
        <v xml:space="preserve">   850110</v>
      </c>
      <c r="B5239" t="str">
        <f>T("   Moteurs d'une puissance &lt;= 37,5 W")</f>
        <v xml:space="preserve">   Moteurs d'une puissance &lt;= 37,5 W</v>
      </c>
      <c r="C5239">
        <v>5351978</v>
      </c>
      <c r="D5239">
        <v>161</v>
      </c>
    </row>
    <row r="5240" spans="1:4" x14ac:dyDescent="0.25">
      <c r="A5240" t="str">
        <f>T("   850120")</f>
        <v xml:space="preserve">   850120</v>
      </c>
      <c r="B5240" t="str">
        <f>T("   Moteurs universels, puissance &gt; 37,5 W")</f>
        <v xml:space="preserve">   Moteurs universels, puissance &gt; 37,5 W</v>
      </c>
      <c r="C5240">
        <v>6202787</v>
      </c>
      <c r="D5240">
        <v>18</v>
      </c>
    </row>
    <row r="5241" spans="1:4" x14ac:dyDescent="0.25">
      <c r="A5241" t="str">
        <f>T("   850131")</f>
        <v xml:space="preserve">   850131</v>
      </c>
      <c r="B5241" t="str">
        <f>T("   Moteurs à courant continu, puissance &lt;= 750 W mais &gt; 37,5 W et génératrices à courant continu, puissance &lt;= 750 W")</f>
        <v xml:space="preserve">   Moteurs à courant continu, puissance &lt;= 750 W mais &gt; 37,5 W et génératrices à courant continu, puissance &lt;= 750 W</v>
      </c>
      <c r="C5241">
        <v>6605262</v>
      </c>
      <c r="D5241">
        <v>104</v>
      </c>
    </row>
    <row r="5242" spans="1:4" x14ac:dyDescent="0.25">
      <c r="A5242" t="str">
        <f>T("   850132")</f>
        <v xml:space="preserve">   850132</v>
      </c>
      <c r="B5242" t="str">
        <f>T("   Moteurs et génératrices à courant continu, puissance &gt; 750 W mais &lt;= 75 kW")</f>
        <v xml:space="preserve">   Moteurs et génératrices à courant continu, puissance &gt; 750 W mais &lt;= 75 kW</v>
      </c>
      <c r="C5242">
        <v>6301670</v>
      </c>
      <c r="D5242">
        <v>739</v>
      </c>
    </row>
    <row r="5243" spans="1:4" x14ac:dyDescent="0.25">
      <c r="A5243" t="str">
        <f>T("   850133")</f>
        <v xml:space="preserve">   850133</v>
      </c>
      <c r="B5243" t="str">
        <f>T("   Moteurs et génératrices à courant continu, puissance &gt; 75 kW mais &lt;= 375 kW")</f>
        <v xml:space="preserve">   Moteurs et génératrices à courant continu, puissance &gt; 75 kW mais &lt;= 375 kW</v>
      </c>
      <c r="C5243">
        <v>9977978</v>
      </c>
      <c r="D5243">
        <v>1262</v>
      </c>
    </row>
    <row r="5244" spans="1:4" x14ac:dyDescent="0.25">
      <c r="A5244" t="str">
        <f>T("   850151")</f>
        <v xml:space="preserve">   850151</v>
      </c>
      <c r="B5244" t="str">
        <f>T("   Moteurs à courant alternatif, polyphasés, puissance &gt; 37,5 W mais &lt;= 750 W")</f>
        <v xml:space="preserve">   Moteurs à courant alternatif, polyphasés, puissance &gt; 37,5 W mais &lt;= 750 W</v>
      </c>
      <c r="C5244">
        <v>711159</v>
      </c>
      <c r="D5244">
        <v>32</v>
      </c>
    </row>
    <row r="5245" spans="1:4" x14ac:dyDescent="0.25">
      <c r="A5245" t="str">
        <f>T("   850152")</f>
        <v xml:space="preserve">   850152</v>
      </c>
      <c r="B5245" t="str">
        <f>T("   Moteurs à courant alternatif, polyphasés, puissance &gt; 750 W mais &lt;= 75 kW")</f>
        <v xml:space="preserve">   Moteurs à courant alternatif, polyphasés, puissance &gt; 750 W mais &lt;= 75 kW</v>
      </c>
      <c r="C5245">
        <v>10153645</v>
      </c>
      <c r="D5245">
        <v>1068</v>
      </c>
    </row>
    <row r="5246" spans="1:4" x14ac:dyDescent="0.25">
      <c r="A5246" t="str">
        <f>T("   850162")</f>
        <v xml:space="preserve">   850162</v>
      </c>
      <c r="B5246" t="str">
        <f>T("   Alternateurs, puissance &gt; 75 kVA mais &lt;= 375 kVA")</f>
        <v xml:space="preserve">   Alternateurs, puissance &gt; 75 kVA mais &lt;= 375 kVA</v>
      </c>
      <c r="C5246">
        <v>2215000</v>
      </c>
      <c r="D5246">
        <v>3000</v>
      </c>
    </row>
    <row r="5247" spans="1:4" x14ac:dyDescent="0.25">
      <c r="A5247" t="str">
        <f>T("   850163")</f>
        <v xml:space="preserve">   850163</v>
      </c>
      <c r="B5247" t="str">
        <f>T("   Alternateurs, puissance &gt; 375 kVA mais &lt;= 750 kVA")</f>
        <v xml:space="preserve">   Alternateurs, puissance &gt; 375 kVA mais &lt;= 750 kVA</v>
      </c>
      <c r="C5247">
        <v>3172000</v>
      </c>
      <c r="D5247">
        <v>25</v>
      </c>
    </row>
    <row r="5248" spans="1:4" x14ac:dyDescent="0.25">
      <c r="A5248" t="str">
        <f>T("   850164")</f>
        <v xml:space="preserve">   850164</v>
      </c>
      <c r="B5248" t="str">
        <f>T("   Alternateurs, puissance &gt; 750 kVA")</f>
        <v xml:space="preserve">   Alternateurs, puissance &gt; 750 kVA</v>
      </c>
      <c r="C5248">
        <v>592866487</v>
      </c>
      <c r="D5248">
        <v>44786</v>
      </c>
    </row>
    <row r="5249" spans="1:4" x14ac:dyDescent="0.25">
      <c r="A5249" t="str">
        <f>T("   850211")</f>
        <v xml:space="preserve">   850211</v>
      </c>
      <c r="B5249" t="s">
        <v>444</v>
      </c>
      <c r="C5249">
        <v>435802820</v>
      </c>
      <c r="D5249">
        <v>88966</v>
      </c>
    </row>
    <row r="5250" spans="1:4" x14ac:dyDescent="0.25">
      <c r="A5250" t="str">
        <f>T("   850212")</f>
        <v xml:space="preserve">   850212</v>
      </c>
      <c r="B5250" t="str">
        <f>T("   GROUPES ÉLECTROGÈNES À MOTEUR À PISTON À ALLUMAGE PAR COMPRESSION 'MOTEURS DIESEL OU SEMI-DIESEL', PUISSANCE &gt; 75 KVA MAIS &lt;= 375 KVA")</f>
        <v xml:space="preserve">   GROUPES ÉLECTROGÈNES À MOTEUR À PISTON À ALLUMAGE PAR COMPRESSION 'MOTEURS DIESEL OU SEMI-DIESEL', PUISSANCE &gt; 75 KVA MAIS &lt;= 375 KVA</v>
      </c>
      <c r="C5250">
        <v>226945097</v>
      </c>
      <c r="D5250">
        <v>43722</v>
      </c>
    </row>
    <row r="5251" spans="1:4" x14ac:dyDescent="0.25">
      <c r="A5251" t="str">
        <f>T("   850213")</f>
        <v xml:space="preserve">   850213</v>
      </c>
      <c r="B5251" t="s">
        <v>445</v>
      </c>
      <c r="C5251">
        <v>2272470831</v>
      </c>
      <c r="D5251">
        <v>295760</v>
      </c>
    </row>
    <row r="5252" spans="1:4" x14ac:dyDescent="0.25">
      <c r="A5252" t="str">
        <f>T("   850220")</f>
        <v xml:space="preserve">   850220</v>
      </c>
      <c r="B5252" t="s">
        <v>446</v>
      </c>
      <c r="C5252">
        <v>1735258</v>
      </c>
      <c r="D5252">
        <v>1131.5</v>
      </c>
    </row>
    <row r="5253" spans="1:4" x14ac:dyDescent="0.25">
      <c r="A5253" t="str">
        <f>T("   850239")</f>
        <v xml:space="preserve">   850239</v>
      </c>
      <c r="B5253" t="str">
        <f>T("   Groupes électrogènes (autres qu'à énergie éolienne et à moteurs à piston)")</f>
        <v xml:space="preserve">   Groupes électrogènes (autres qu'à énergie éolienne et à moteurs à piston)</v>
      </c>
      <c r="C5253">
        <v>44270919</v>
      </c>
      <c r="D5253">
        <v>21109</v>
      </c>
    </row>
    <row r="5254" spans="1:4" x14ac:dyDescent="0.25">
      <c r="A5254" t="str">
        <f>T("   850240")</f>
        <v xml:space="preserve">   850240</v>
      </c>
      <c r="B5254" t="str">
        <f>T("   Convertisseurs rotatifs électriques")</f>
        <v xml:space="preserve">   Convertisseurs rotatifs électriques</v>
      </c>
      <c r="C5254">
        <v>918344</v>
      </c>
      <c r="D5254">
        <v>200</v>
      </c>
    </row>
    <row r="5255" spans="1:4" x14ac:dyDescent="0.25">
      <c r="A5255" t="str">
        <f>T("   850300")</f>
        <v xml:space="preserve">   850300</v>
      </c>
      <c r="B5255" t="str">
        <f>T("   Parties reconnaissables comme étant exclusivement ou principalement destinées aux moteurs et machines génératrices électriques, groupes électrogènes ou convertisseurs rotatifs électriques n.d.a.")</f>
        <v xml:space="preserve">   Parties reconnaissables comme étant exclusivement ou principalement destinées aux moteurs et machines génératrices électriques, groupes électrogènes ou convertisseurs rotatifs électriques n.d.a.</v>
      </c>
      <c r="C5255">
        <v>914569590</v>
      </c>
      <c r="D5255">
        <v>72473</v>
      </c>
    </row>
    <row r="5256" spans="1:4" x14ac:dyDescent="0.25">
      <c r="A5256" t="str">
        <f>T("   850410")</f>
        <v xml:space="preserve">   850410</v>
      </c>
      <c r="B5256" t="str">
        <f>T("   Ballasts pour lampes ou tubes à décharge")</f>
        <v xml:space="preserve">   Ballasts pour lampes ou tubes à décharge</v>
      </c>
      <c r="C5256">
        <v>158939</v>
      </c>
      <c r="D5256">
        <v>12</v>
      </c>
    </row>
    <row r="5257" spans="1:4" x14ac:dyDescent="0.25">
      <c r="A5257" t="str">
        <f>T("   850421")</f>
        <v xml:space="preserve">   850421</v>
      </c>
      <c r="B5257" t="str">
        <f>T("   Transformateurs à diélectrique liquide, puissance &lt;= 650 kVA")</f>
        <v xml:space="preserve">   Transformateurs à diélectrique liquide, puissance &lt;= 650 kVA</v>
      </c>
      <c r="C5257">
        <v>47663505</v>
      </c>
      <c r="D5257">
        <v>13164</v>
      </c>
    </row>
    <row r="5258" spans="1:4" x14ac:dyDescent="0.25">
      <c r="A5258" t="str">
        <f>T("   850422")</f>
        <v xml:space="preserve">   850422</v>
      </c>
      <c r="B5258" t="str">
        <f>T("   Transformateurs à diélectrique liquide, puissance &gt; 650 kVA mais &lt;= 10.000 kVA")</f>
        <v xml:space="preserve">   Transformateurs à diélectrique liquide, puissance &gt; 650 kVA mais &lt;= 10.000 kVA</v>
      </c>
      <c r="C5258">
        <v>22777555</v>
      </c>
      <c r="D5258">
        <v>6731</v>
      </c>
    </row>
    <row r="5259" spans="1:4" x14ac:dyDescent="0.25">
      <c r="A5259" t="str">
        <f>T("   850431")</f>
        <v xml:space="preserve">   850431</v>
      </c>
      <c r="B5259" t="str">
        <f>T("   Transformateurs à sec, puissance &lt;= 1 kVA")</f>
        <v xml:space="preserve">   Transformateurs à sec, puissance &lt;= 1 kVA</v>
      </c>
      <c r="C5259">
        <v>23787417</v>
      </c>
      <c r="D5259">
        <v>7685</v>
      </c>
    </row>
    <row r="5260" spans="1:4" x14ac:dyDescent="0.25">
      <c r="A5260" t="str">
        <f>T("   850432")</f>
        <v xml:space="preserve">   850432</v>
      </c>
      <c r="B5260" t="str">
        <f>T("   Transformateurs à sec, puissance &gt; 1 kVA mais &lt;= 16 kVA")</f>
        <v xml:space="preserve">   Transformateurs à sec, puissance &gt; 1 kVA mais &lt;= 16 kVA</v>
      </c>
      <c r="C5260">
        <v>129093</v>
      </c>
      <c r="D5260">
        <v>6</v>
      </c>
    </row>
    <row r="5261" spans="1:4" x14ac:dyDescent="0.25">
      <c r="A5261" t="str">
        <f>T("   850433")</f>
        <v xml:space="preserve">   850433</v>
      </c>
      <c r="B5261" t="str">
        <f>T("   Transformateurs à sec, puissance &gt; 16 kVA mais &lt;= 500 kVA")</f>
        <v xml:space="preserve">   Transformateurs à sec, puissance &gt; 16 kVA mais &lt;= 500 kVA</v>
      </c>
      <c r="C5261">
        <v>15874639</v>
      </c>
      <c r="D5261">
        <v>2553</v>
      </c>
    </row>
    <row r="5262" spans="1:4" x14ac:dyDescent="0.25">
      <c r="A5262" t="str">
        <f>T("   850434")</f>
        <v xml:space="preserve">   850434</v>
      </c>
      <c r="B5262" t="str">
        <f>T("   Transformateurs à sec, puissance &gt; 500 kVA")</f>
        <v xml:space="preserve">   Transformateurs à sec, puissance &gt; 500 kVA</v>
      </c>
      <c r="C5262">
        <v>13891901</v>
      </c>
      <c r="D5262">
        <v>3321</v>
      </c>
    </row>
    <row r="5263" spans="1:4" x14ac:dyDescent="0.25">
      <c r="A5263" t="str">
        <f>T("   850440")</f>
        <v xml:space="preserve">   850440</v>
      </c>
      <c r="B5263" t="str">
        <f>T("   CONVERTISSEURS STATIQUES")</f>
        <v xml:space="preserve">   CONVERTISSEURS STATIQUES</v>
      </c>
      <c r="C5263">
        <v>232301120</v>
      </c>
      <c r="D5263">
        <v>58186</v>
      </c>
    </row>
    <row r="5264" spans="1:4" x14ac:dyDescent="0.25">
      <c r="A5264" t="str">
        <f>T("   850450")</f>
        <v xml:space="preserve">   850450</v>
      </c>
      <c r="B5264" t="str">
        <f>T("   Bobines de réactance et autres selfs (autres que pour lampes ou tubes à décharge)")</f>
        <v xml:space="preserve">   Bobines de réactance et autres selfs (autres que pour lampes ou tubes à décharge)</v>
      </c>
      <c r="C5264">
        <v>372733</v>
      </c>
      <c r="D5264">
        <v>9</v>
      </c>
    </row>
    <row r="5265" spans="1:4" x14ac:dyDescent="0.25">
      <c r="A5265" t="str">
        <f>T("   850490")</f>
        <v xml:space="preserve">   850490</v>
      </c>
      <c r="B5265" t="str">
        <f>T("   Parties de transformateurs, de bobines de réactance et selfs n.d.a.")</f>
        <v xml:space="preserve">   Parties de transformateurs, de bobines de réactance et selfs n.d.a.</v>
      </c>
      <c r="C5265">
        <v>27331642</v>
      </c>
      <c r="D5265">
        <v>8294</v>
      </c>
    </row>
    <row r="5266" spans="1:4" x14ac:dyDescent="0.25">
      <c r="A5266" t="str">
        <f>T("   850520")</f>
        <v xml:space="preserve">   850520</v>
      </c>
      <c r="B5266" t="str">
        <f>T("   Accouplements, embrayages, variateurs de vitesse et freins électromagnétiques")</f>
        <v xml:space="preserve">   Accouplements, embrayages, variateurs de vitesse et freins électromagnétiques</v>
      </c>
      <c r="C5266">
        <v>3644783</v>
      </c>
      <c r="D5266">
        <v>76</v>
      </c>
    </row>
    <row r="5267" spans="1:4" x14ac:dyDescent="0.25">
      <c r="A5267" t="str">
        <f>T("   850590")</f>
        <v xml:space="preserve">   850590</v>
      </c>
      <c r="B5267" t="str">
        <f>T("   ÉLECTRO-AIMANTS (AUTRES QU'À USAGES MÉDICAUX), TÊTES DE LEVAGE ÉLECTROMAGNÉTIQUES AINSI QUE PLATEAUX, MANDRINS ET DISPOSITIFS MAGNÉTIQUES OU ÉLECTROMAGNÉTIQUES SIMIL. DE FIXATION ET LEURS PARTIES N.D.A.")</f>
        <v xml:space="preserve">   ÉLECTRO-AIMANTS (AUTRES QU'À USAGES MÉDICAUX), TÊTES DE LEVAGE ÉLECTROMAGNÉTIQUES AINSI QUE PLATEAUX, MANDRINS ET DISPOSITIFS MAGNÉTIQUES OU ÉLECTROMAGNÉTIQUES SIMIL. DE FIXATION ET LEURS PARTIES N.D.A.</v>
      </c>
      <c r="C5267">
        <v>264995</v>
      </c>
      <c r="D5267">
        <v>2</v>
      </c>
    </row>
    <row r="5268" spans="1:4" x14ac:dyDescent="0.25">
      <c r="A5268" t="str">
        <f>T("   850610")</f>
        <v xml:space="preserve">   850610</v>
      </c>
      <c r="B5268" t="str">
        <f>T("   Piles et batteries de piles électriques, au bioxyde de manganèse (sauf hors d'usage)")</f>
        <v xml:space="preserve">   Piles et batteries de piles électriques, au bioxyde de manganèse (sauf hors d'usage)</v>
      </c>
      <c r="C5268">
        <v>1723703</v>
      </c>
      <c r="D5268">
        <v>71</v>
      </c>
    </row>
    <row r="5269" spans="1:4" x14ac:dyDescent="0.25">
      <c r="A5269" t="str">
        <f>T("   850650")</f>
        <v xml:space="preserve">   850650</v>
      </c>
      <c r="B5269" t="str">
        <f>T("   Piles et batteries de piles électriques, au lithium (sauf hors d'usage)")</f>
        <v xml:space="preserve">   Piles et batteries de piles électriques, au lithium (sauf hors d'usage)</v>
      </c>
      <c r="C5269">
        <v>2103981</v>
      </c>
      <c r="D5269">
        <v>463.5</v>
      </c>
    </row>
    <row r="5270" spans="1:4" x14ac:dyDescent="0.25">
      <c r="A5270" t="str">
        <f>T("   850680")</f>
        <v xml:space="preserve">   850680</v>
      </c>
      <c r="B5270" t="str">
        <f>T("   Piles et batteries de piles électriques (sauf hors d'usage et autres que piles et batteries à l'oxyde d'argent, de mercure, au bioxyde de manganèse, au lithium et à l'air-zinc)")</f>
        <v xml:space="preserve">   Piles et batteries de piles électriques (sauf hors d'usage et autres que piles et batteries à l'oxyde d'argent, de mercure, au bioxyde de manganèse, au lithium et à l'air-zinc)</v>
      </c>
      <c r="C5270">
        <v>7548386</v>
      </c>
      <c r="D5270">
        <v>1861</v>
      </c>
    </row>
    <row r="5271" spans="1:4" x14ac:dyDescent="0.25">
      <c r="A5271" t="str">
        <f>T("   850710")</f>
        <v xml:space="preserve">   850710</v>
      </c>
      <c r="B5271" t="str">
        <f>T("   Accumulateurs au plomb, pour le démarrage des moteurs à piston (sauf hors d'usage)")</f>
        <v xml:space="preserve">   Accumulateurs au plomb, pour le démarrage des moteurs à piston (sauf hors d'usage)</v>
      </c>
      <c r="C5271">
        <v>111796619</v>
      </c>
      <c r="D5271">
        <v>59032</v>
      </c>
    </row>
    <row r="5272" spans="1:4" x14ac:dyDescent="0.25">
      <c r="A5272" t="str">
        <f>T("   850720")</f>
        <v xml:space="preserve">   850720</v>
      </c>
      <c r="B5272" t="str">
        <f>T("   Accumulateurs au plomb (sauf hors d'usage et autres que pour le démarrage des moteurs à piston)")</f>
        <v xml:space="preserve">   Accumulateurs au plomb (sauf hors d'usage et autres que pour le démarrage des moteurs à piston)</v>
      </c>
      <c r="C5272">
        <v>38719225</v>
      </c>
      <c r="D5272">
        <v>7675</v>
      </c>
    </row>
    <row r="5273" spans="1:4" x14ac:dyDescent="0.25">
      <c r="A5273" t="str">
        <f>T("   850780")</f>
        <v xml:space="preserve">   850780</v>
      </c>
      <c r="B5273" t="str">
        <f>T("   Accumulateurs électriques (sauf hors d'usage et autres qu'au plomb, au nickel-cadmium ou au nickel-fer)")</f>
        <v xml:space="preserve">   Accumulateurs électriques (sauf hors d'usage et autres qu'au plomb, au nickel-cadmium ou au nickel-fer)</v>
      </c>
      <c r="C5273">
        <v>163462335</v>
      </c>
      <c r="D5273">
        <v>46732</v>
      </c>
    </row>
    <row r="5274" spans="1:4" x14ac:dyDescent="0.25">
      <c r="A5274" t="str">
        <f>T("   850790")</f>
        <v xml:space="preserve">   850790</v>
      </c>
      <c r="B5274" t="str">
        <f>T("   Plaques, séparateurs et autres parties d'accumulateurs électriques n.d.a.")</f>
        <v xml:space="preserve">   Plaques, séparateurs et autres parties d'accumulateurs électriques n.d.a.</v>
      </c>
      <c r="C5274">
        <v>797647</v>
      </c>
      <c r="D5274">
        <v>161</v>
      </c>
    </row>
    <row r="5275" spans="1:4" x14ac:dyDescent="0.25">
      <c r="A5275" t="str">
        <f>T("   850910")</f>
        <v xml:space="preserve">   850910</v>
      </c>
      <c r="B5275" t="str">
        <f>T("   Aspirateurs de poussières, y.c. les aspirateurs de matières sèches et de matières liquides, à moteur électrique incorporé, à usage domestique")</f>
        <v xml:space="preserve">   Aspirateurs de poussières, y.c. les aspirateurs de matières sèches et de matières liquides, à moteur électrique incorporé, à usage domestique</v>
      </c>
      <c r="C5275">
        <v>12255846</v>
      </c>
      <c r="D5275">
        <v>2737.92</v>
      </c>
    </row>
    <row r="5276" spans="1:4" x14ac:dyDescent="0.25">
      <c r="A5276" t="str">
        <f>T("   850940")</f>
        <v xml:space="preserve">   850940</v>
      </c>
      <c r="B5276" t="str">
        <f>T("   Broyeurs et mélangeurs pour aliments; presse-fruits et presse-légumes à moteur électrique incorporé, à usage domestique")</f>
        <v xml:space="preserve">   Broyeurs et mélangeurs pour aliments; presse-fruits et presse-légumes à moteur électrique incorporé, à usage domestique</v>
      </c>
      <c r="C5276">
        <v>11575173</v>
      </c>
      <c r="D5276">
        <v>3146</v>
      </c>
    </row>
    <row r="5277" spans="1:4" x14ac:dyDescent="0.25">
      <c r="A5277" t="str">
        <f>T("   850980")</f>
        <v xml:space="preserve">   850980</v>
      </c>
      <c r="B5277" t="s">
        <v>447</v>
      </c>
      <c r="C5277">
        <v>65660873</v>
      </c>
      <c r="D5277">
        <v>23153</v>
      </c>
    </row>
    <row r="5278" spans="1:4" x14ac:dyDescent="0.25">
      <c r="A5278" t="str">
        <f>T("   850990")</f>
        <v xml:space="preserve">   850990</v>
      </c>
      <c r="B5278" t="str">
        <f>T("   Parties d'appareils électromécaniques à moteur électrique incorporé, à usage domestique, n.d.a.")</f>
        <v xml:space="preserve">   Parties d'appareils électromécaniques à moteur électrique incorporé, à usage domestique, n.d.a.</v>
      </c>
      <c r="C5278">
        <v>3202061</v>
      </c>
      <c r="D5278">
        <v>318</v>
      </c>
    </row>
    <row r="5279" spans="1:4" x14ac:dyDescent="0.25">
      <c r="A5279" t="str">
        <f>T("   851020")</f>
        <v xml:space="preserve">   851020</v>
      </c>
      <c r="B5279" t="str">
        <f>T("   Tondeuses à moteur électrique incorporé")</f>
        <v xml:space="preserve">   Tondeuses à moteur électrique incorporé</v>
      </c>
      <c r="C5279">
        <v>5634040</v>
      </c>
      <c r="D5279">
        <v>942</v>
      </c>
    </row>
    <row r="5280" spans="1:4" x14ac:dyDescent="0.25">
      <c r="A5280" t="str">
        <f>T("   851110")</f>
        <v xml:space="preserve">   851110</v>
      </c>
      <c r="B5280" t="str">
        <f>T("   Bougies d'allumage pour moteurs à allumage par étincelles ou par compression")</f>
        <v xml:space="preserve">   Bougies d'allumage pour moteurs à allumage par étincelles ou par compression</v>
      </c>
      <c r="C5280">
        <v>17356206</v>
      </c>
      <c r="D5280">
        <v>1594.36</v>
      </c>
    </row>
    <row r="5281" spans="1:4" x14ac:dyDescent="0.25">
      <c r="A5281" t="str">
        <f>T("   851130")</f>
        <v xml:space="preserve">   851130</v>
      </c>
      <c r="B5281" t="str">
        <f>T("   Distributeurs et bobines d'allumage, pour moteurs à allumage par étincelles ou par compression")</f>
        <v xml:space="preserve">   Distributeurs et bobines d'allumage, pour moteurs à allumage par étincelles ou par compression</v>
      </c>
      <c r="C5281">
        <v>8903496</v>
      </c>
      <c r="D5281">
        <v>139</v>
      </c>
    </row>
    <row r="5282" spans="1:4" x14ac:dyDescent="0.25">
      <c r="A5282" t="str">
        <f>T("   851140")</f>
        <v xml:space="preserve">   851140</v>
      </c>
      <c r="B5282" t="str">
        <f>T("   Démarreurs, même fonctionnant comme génératrices, pour moteurs à allumage par étincelles ou par compression")</f>
        <v xml:space="preserve">   Démarreurs, même fonctionnant comme génératrices, pour moteurs à allumage par étincelles ou par compression</v>
      </c>
      <c r="C5282">
        <v>35434695</v>
      </c>
      <c r="D5282">
        <v>1335</v>
      </c>
    </row>
    <row r="5283" spans="1:4" x14ac:dyDescent="0.25">
      <c r="A5283" t="str">
        <f>T("   851150")</f>
        <v xml:space="preserve">   851150</v>
      </c>
      <c r="B5283" t="str">
        <f>T("   Génératrices pour moteurs à allumage par étincelles ou par compression (autres que dynamos-magnétos et démarreurs fonctionnant comme génératrices)")</f>
        <v xml:space="preserve">   Génératrices pour moteurs à allumage par étincelles ou par compression (autres que dynamos-magnétos et démarreurs fonctionnant comme génératrices)</v>
      </c>
      <c r="C5283">
        <v>10484785</v>
      </c>
      <c r="D5283">
        <v>241</v>
      </c>
    </row>
    <row r="5284" spans="1:4" x14ac:dyDescent="0.25">
      <c r="A5284" t="str">
        <f>T("   851180")</f>
        <v xml:space="preserve">   851180</v>
      </c>
      <c r="B5284" t="s">
        <v>448</v>
      </c>
      <c r="C5284">
        <v>5008367</v>
      </c>
      <c r="D5284">
        <v>121</v>
      </c>
    </row>
    <row r="5285" spans="1:4" x14ac:dyDescent="0.25">
      <c r="A5285" t="str">
        <f>T("   851190")</f>
        <v xml:space="preserve">   851190</v>
      </c>
      <c r="B5285" t="str">
        <f>T("   Parties des appareils et dispositifs électriques d'allumage et de démarrage, génératrices etc. du n° 8511, n.d.a.")</f>
        <v xml:space="preserve">   Parties des appareils et dispositifs électriques d'allumage et de démarrage, génératrices etc. du n° 8511, n.d.a.</v>
      </c>
      <c r="C5285">
        <v>2763247</v>
      </c>
      <c r="D5285">
        <v>306</v>
      </c>
    </row>
    <row r="5286" spans="1:4" x14ac:dyDescent="0.25">
      <c r="A5286" t="str">
        <f>T("   851210")</f>
        <v xml:space="preserve">   851210</v>
      </c>
      <c r="B5286" t="s">
        <v>449</v>
      </c>
      <c r="C5286">
        <v>293129</v>
      </c>
      <c r="D5286">
        <v>87</v>
      </c>
    </row>
    <row r="5287" spans="1:4" x14ac:dyDescent="0.25">
      <c r="A5287" t="str">
        <f>T("   851220")</f>
        <v xml:space="preserve">   851220</v>
      </c>
      <c r="B5287" t="str">
        <f>T("   Appareils électriques d'éclairage ou de signalisation visuelle, pour automobiles (à l'excl. des lampes du n° 8539)")</f>
        <v xml:space="preserve">   Appareils électriques d'éclairage ou de signalisation visuelle, pour automobiles (à l'excl. des lampes du n° 8539)</v>
      </c>
      <c r="C5287">
        <v>7839596</v>
      </c>
      <c r="D5287">
        <v>440</v>
      </c>
    </row>
    <row r="5288" spans="1:4" x14ac:dyDescent="0.25">
      <c r="A5288" t="str">
        <f>T("   851230")</f>
        <v xml:space="preserve">   851230</v>
      </c>
      <c r="B5288" t="str">
        <f>T("   APPAREILS ÉLECTRIQUES DE SIGNALISATION ACOUSTIQUE, POUR CYCLES OU POUR AUTOMOBILES")</f>
        <v xml:space="preserve">   APPAREILS ÉLECTRIQUES DE SIGNALISATION ACOUSTIQUE, POUR CYCLES OU POUR AUTOMOBILES</v>
      </c>
      <c r="C5288">
        <v>333228</v>
      </c>
      <c r="D5288">
        <v>40</v>
      </c>
    </row>
    <row r="5289" spans="1:4" x14ac:dyDescent="0.25">
      <c r="A5289" t="str">
        <f>T("   851240")</f>
        <v xml:space="preserve">   851240</v>
      </c>
      <c r="B5289" t="str">
        <f>T("   Essuie-glaces, dégivreurs et dispositifs antibuée électriques, des types utilisés pour automobiles")</f>
        <v xml:space="preserve">   Essuie-glaces, dégivreurs et dispositifs antibuée électriques, des types utilisés pour automobiles</v>
      </c>
      <c r="C5289">
        <v>4222808</v>
      </c>
      <c r="D5289">
        <v>438</v>
      </c>
    </row>
    <row r="5290" spans="1:4" x14ac:dyDescent="0.25">
      <c r="A5290" t="str">
        <f>T("   851290")</f>
        <v xml:space="preserve">   851290</v>
      </c>
      <c r="B5290" t="str">
        <f>T("   PARTIES DES APPAREILS ÉLECTRIQUES D'ÉCLAIRAGE, DE SIGNALISATION, ESSUIE-GLACES, DÉGIVREURS ET DISPOSITIFS ANTIBUÉE, DES TYPES UTILISÉS POUR CYCLES ET POUR AUTOMOBILES, N.D.A.")</f>
        <v xml:space="preserve">   PARTIES DES APPAREILS ÉLECTRIQUES D'ÉCLAIRAGE, DE SIGNALISATION, ESSUIE-GLACES, DÉGIVREURS ET DISPOSITIFS ANTIBUÉE, DES TYPES UTILISÉS POUR CYCLES ET POUR AUTOMOBILES, N.D.A.</v>
      </c>
      <c r="C5290">
        <v>29210</v>
      </c>
      <c r="D5290">
        <v>1</v>
      </c>
    </row>
    <row r="5291" spans="1:4" x14ac:dyDescent="0.25">
      <c r="A5291" t="str">
        <f>T("   851310")</f>
        <v xml:space="preserve">   851310</v>
      </c>
      <c r="B5291" t="str">
        <f>T("   Lampes électriques portatives, destinées à fonctionner au moyen de leur propre source d'énergie")</f>
        <v xml:space="preserve">   Lampes électriques portatives, destinées à fonctionner au moyen de leur propre source d'énergie</v>
      </c>
      <c r="C5291">
        <v>13426852</v>
      </c>
      <c r="D5291">
        <v>4410</v>
      </c>
    </row>
    <row r="5292" spans="1:4" x14ac:dyDescent="0.25">
      <c r="A5292" t="str">
        <f>T("   851430")</f>
        <v xml:space="preserve">   851430</v>
      </c>
      <c r="B5292" t="str">
        <f>T("   Fours électriques industriels ou de laboratoires (autres que les fours à résistance, à chauffage indirect, les fours fonctionnant par induction ou par perte diélectrique et les étuves)")</f>
        <v xml:space="preserve">   Fours électriques industriels ou de laboratoires (autres que les fours à résistance, à chauffage indirect, les fours fonctionnant par induction ou par perte diélectrique et les étuves)</v>
      </c>
      <c r="C5292">
        <v>10769255</v>
      </c>
      <c r="D5292">
        <v>4543</v>
      </c>
    </row>
    <row r="5293" spans="1:4" x14ac:dyDescent="0.25">
      <c r="A5293" t="str">
        <f>T("   851511")</f>
        <v xml:space="preserve">   851511</v>
      </c>
      <c r="B5293" t="str">
        <f>T("   Fers et pistolets à braser électriques")</f>
        <v xml:space="preserve">   Fers et pistolets à braser électriques</v>
      </c>
      <c r="C5293">
        <v>68188</v>
      </c>
      <c r="D5293">
        <v>8</v>
      </c>
    </row>
    <row r="5294" spans="1:4" x14ac:dyDescent="0.25">
      <c r="A5294" t="str">
        <f>T("   851519")</f>
        <v xml:space="preserve">   851519</v>
      </c>
      <c r="B5294" t="str">
        <f>T("   Machines et appareils électriques pour le brasage fort ou tendre (sauf fers et pistolets à braser)")</f>
        <v xml:space="preserve">   Machines et appareils électriques pour le brasage fort ou tendre (sauf fers et pistolets à braser)</v>
      </c>
      <c r="C5294">
        <v>104481</v>
      </c>
      <c r="D5294">
        <v>12</v>
      </c>
    </row>
    <row r="5295" spans="1:4" x14ac:dyDescent="0.25">
      <c r="A5295" t="str">
        <f>T("   851529")</f>
        <v xml:space="preserve">   851529</v>
      </c>
      <c r="B5295" t="str">
        <f>T("   MACHINES ET APPAREILS POUR LE SOUDAGE DES MÉTAUX PAR RÉSISTANCE, NON-AUTOMATIQUES")</f>
        <v xml:space="preserve">   MACHINES ET APPAREILS POUR LE SOUDAGE DES MÉTAUX PAR RÉSISTANCE, NON-AUTOMATIQUES</v>
      </c>
      <c r="C5295">
        <v>621386</v>
      </c>
      <c r="D5295">
        <v>72</v>
      </c>
    </row>
    <row r="5296" spans="1:4" x14ac:dyDescent="0.25">
      <c r="A5296" t="str">
        <f>T("   851539")</f>
        <v xml:space="preserve">   851539</v>
      </c>
      <c r="B5296" t="str">
        <f>T("   MACHINES ET APPAREILS POUR LE SOUDAGE DES MÉTAUX À L'ARC OU AU JET DE PLASMA, NON-AUTOMATIQUES")</f>
        <v xml:space="preserve">   MACHINES ET APPAREILS POUR LE SOUDAGE DES MÉTAUX À L'ARC OU AU JET DE PLASMA, NON-AUTOMATIQUES</v>
      </c>
      <c r="C5296">
        <v>5504195</v>
      </c>
      <c r="D5296">
        <v>719</v>
      </c>
    </row>
    <row r="5297" spans="1:4" x14ac:dyDescent="0.25">
      <c r="A5297" t="str">
        <f>T("   851580")</f>
        <v xml:space="preserve">   851580</v>
      </c>
      <c r="B5297" t="s">
        <v>450</v>
      </c>
      <c r="C5297">
        <v>4423794</v>
      </c>
      <c r="D5297">
        <v>1565</v>
      </c>
    </row>
    <row r="5298" spans="1:4" x14ac:dyDescent="0.25">
      <c r="A5298" t="str">
        <f>T("   851590")</f>
        <v xml:space="preserve">   851590</v>
      </c>
      <c r="B5298" t="str">
        <f>T("   Parties de machines et appareils électriques pour le brasage, le soudage ou la projection à chaud de métaux, de carbures métalliques frittés ou de cermets, n.d.a.")</f>
        <v xml:space="preserve">   Parties de machines et appareils électriques pour le brasage, le soudage ou la projection à chaud de métaux, de carbures métalliques frittés ou de cermets, n.d.a.</v>
      </c>
      <c r="C5298">
        <v>14455811</v>
      </c>
      <c r="D5298">
        <v>3961</v>
      </c>
    </row>
    <row r="5299" spans="1:4" x14ac:dyDescent="0.25">
      <c r="A5299" t="str">
        <f>T("   851610")</f>
        <v xml:space="preserve">   851610</v>
      </c>
      <c r="B5299" t="str">
        <f>T("   Chauffe-eau et thermoplongeurs électriques")</f>
        <v xml:space="preserve">   Chauffe-eau et thermoplongeurs électriques</v>
      </c>
      <c r="C5299">
        <v>59436437</v>
      </c>
      <c r="D5299">
        <v>26772</v>
      </c>
    </row>
    <row r="5300" spans="1:4" x14ac:dyDescent="0.25">
      <c r="A5300" t="str">
        <f>T("   851631")</f>
        <v xml:space="preserve">   851631</v>
      </c>
      <c r="B5300" t="str">
        <f>T("   Sèche-cheveux électriques")</f>
        <v xml:space="preserve">   Sèche-cheveux électriques</v>
      </c>
      <c r="C5300">
        <v>1366365</v>
      </c>
      <c r="D5300">
        <v>274</v>
      </c>
    </row>
    <row r="5301" spans="1:4" x14ac:dyDescent="0.25">
      <c r="A5301" t="str">
        <f>T("   851632")</f>
        <v xml:space="preserve">   851632</v>
      </c>
      <c r="B5301" t="str">
        <f>T("   Appareils électrothermiques pour la coiffure (autres que sèche-cheveux)")</f>
        <v xml:space="preserve">   Appareils électrothermiques pour la coiffure (autres que sèche-cheveux)</v>
      </c>
      <c r="C5301">
        <v>1337502</v>
      </c>
      <c r="D5301">
        <v>151</v>
      </c>
    </row>
    <row r="5302" spans="1:4" x14ac:dyDescent="0.25">
      <c r="A5302" t="str">
        <f>T("   851640")</f>
        <v xml:space="preserve">   851640</v>
      </c>
      <c r="B5302" t="str">
        <f>T("   Fers à repasser électriques")</f>
        <v xml:space="preserve">   Fers à repasser électriques</v>
      </c>
      <c r="C5302">
        <v>7807620</v>
      </c>
      <c r="D5302">
        <v>3174</v>
      </c>
    </row>
    <row r="5303" spans="1:4" x14ac:dyDescent="0.25">
      <c r="A5303" t="str">
        <f>T("   851650")</f>
        <v xml:space="preserve">   851650</v>
      </c>
      <c r="B5303" t="str">
        <f>T("   Fours à micro-ondes")</f>
        <v xml:space="preserve">   Fours à micro-ondes</v>
      </c>
      <c r="C5303">
        <v>430966</v>
      </c>
      <c r="D5303">
        <v>1500</v>
      </c>
    </row>
    <row r="5304" spans="1:4" x14ac:dyDescent="0.25">
      <c r="A5304" t="str">
        <f>T("   851660")</f>
        <v xml:space="preserve">   851660</v>
      </c>
      <c r="B5304" t="str">
        <f>T("   Fours, cuisinières, réchauds, tables de cuisson, grils et rôtissoires électriques, pour usages domestiques (sauf fours destinés au chauffage des locaux et fours à micro-ondes)")</f>
        <v xml:space="preserve">   Fours, cuisinières, réchauds, tables de cuisson, grils et rôtissoires électriques, pour usages domestiques (sauf fours destinés au chauffage des locaux et fours à micro-ondes)</v>
      </c>
      <c r="C5304">
        <v>7175507</v>
      </c>
      <c r="D5304">
        <v>6744</v>
      </c>
    </row>
    <row r="5305" spans="1:4" x14ac:dyDescent="0.25">
      <c r="A5305" t="str">
        <f>T("   851671")</f>
        <v xml:space="preserve">   851671</v>
      </c>
      <c r="B5305" t="str">
        <f>T("   Appareils électriques pour la préparation du café ou du thé, pour usages domestiques")</f>
        <v xml:space="preserve">   Appareils électriques pour la préparation du café ou du thé, pour usages domestiques</v>
      </c>
      <c r="C5305">
        <v>34232515</v>
      </c>
      <c r="D5305">
        <v>9748</v>
      </c>
    </row>
    <row r="5306" spans="1:4" x14ac:dyDescent="0.25">
      <c r="A5306" t="str">
        <f>T("   851679")</f>
        <v xml:space="preserve">   851679</v>
      </c>
      <c r="B5306" t="s">
        <v>451</v>
      </c>
      <c r="C5306">
        <v>9059190</v>
      </c>
      <c r="D5306">
        <v>3741</v>
      </c>
    </row>
    <row r="5307" spans="1:4" x14ac:dyDescent="0.25">
      <c r="A5307" t="str">
        <f>T("   851680")</f>
        <v xml:space="preserve">   851680</v>
      </c>
      <c r="B5307" t="str">
        <f>T("   Résistances chauffantes (autres qu'en charbon aggloméré ou graphite)")</f>
        <v xml:space="preserve">   Résistances chauffantes (autres qu'en charbon aggloméré ou graphite)</v>
      </c>
      <c r="C5307">
        <v>1147253</v>
      </c>
      <c r="D5307">
        <v>22</v>
      </c>
    </row>
    <row r="5308" spans="1:4" x14ac:dyDescent="0.25">
      <c r="A5308" t="str">
        <f>T("   851690")</f>
        <v xml:space="preserve">   851690</v>
      </c>
      <c r="B5308" t="str">
        <f>T("   Parties des chauffe-eau, appareils de chauffage des locaux, appareils électriques pour la coiffure ou pour sécher les mains, appareils électrothermiques pour usages domestiques et résistances chauffantes, n.d.a.")</f>
        <v xml:space="preserve">   Parties des chauffe-eau, appareils de chauffage des locaux, appareils électriques pour la coiffure ou pour sécher les mains, appareils électrothermiques pour usages domestiques et résistances chauffantes, n.d.a.</v>
      </c>
      <c r="C5308">
        <v>3297057</v>
      </c>
      <c r="D5308">
        <v>129</v>
      </c>
    </row>
    <row r="5309" spans="1:4" x14ac:dyDescent="0.25">
      <c r="A5309" t="str">
        <f>T("   851719")</f>
        <v xml:space="preserve">   851719</v>
      </c>
      <c r="B5309" t="str">
        <f>T("   Postes téléphoniques d'usagers pour la téléphonie par fil; visiophones (sauf postes téléphoniques d'usagers par fil à combinés sans fil et parlophones)")</f>
        <v xml:space="preserve">   Postes téléphoniques d'usagers pour la téléphonie par fil; visiophones (sauf postes téléphoniques d'usagers par fil à combinés sans fil et parlophones)</v>
      </c>
      <c r="C5309">
        <v>20502296</v>
      </c>
      <c r="D5309">
        <v>1145</v>
      </c>
    </row>
    <row r="5310" spans="1:4" x14ac:dyDescent="0.25">
      <c r="A5310" t="str">
        <f>T("   851721")</f>
        <v xml:space="preserve">   851721</v>
      </c>
      <c r="B5310" t="str">
        <f>T("   Télécopieurs pour la téléphonie par fil")</f>
        <v xml:space="preserve">   Télécopieurs pour la téléphonie par fil</v>
      </c>
      <c r="C5310">
        <v>2090881</v>
      </c>
      <c r="D5310">
        <v>79</v>
      </c>
    </row>
    <row r="5311" spans="1:4" x14ac:dyDescent="0.25">
      <c r="A5311" t="str">
        <f>T("   851750")</f>
        <v xml:space="preserve">   851750</v>
      </c>
      <c r="B5311" t="s">
        <v>452</v>
      </c>
      <c r="C5311">
        <v>8944338</v>
      </c>
      <c r="D5311">
        <v>312.77</v>
      </c>
    </row>
    <row r="5312" spans="1:4" x14ac:dyDescent="0.25">
      <c r="A5312" t="str">
        <f>T("   851780")</f>
        <v xml:space="preserve">   851780</v>
      </c>
      <c r="B5312" t="s">
        <v>453</v>
      </c>
      <c r="C5312">
        <v>104555727</v>
      </c>
      <c r="D5312">
        <v>5573</v>
      </c>
    </row>
    <row r="5313" spans="1:4" x14ac:dyDescent="0.25">
      <c r="A5313" t="str">
        <f>T("   851790")</f>
        <v xml:space="preserve">   851790</v>
      </c>
      <c r="B5313" t="s">
        <v>454</v>
      </c>
      <c r="C5313">
        <v>25544353</v>
      </c>
      <c r="D5313">
        <v>477.8</v>
      </c>
    </row>
    <row r="5314" spans="1:4" x14ac:dyDescent="0.25">
      <c r="A5314" t="str">
        <f>T("   851822")</f>
        <v xml:space="preserve">   851822</v>
      </c>
      <c r="B5314" t="str">
        <f>T("   Haut-parleurs multiples montés dans la même enceinte")</f>
        <v xml:space="preserve">   Haut-parleurs multiples montés dans la même enceinte</v>
      </c>
      <c r="C5314">
        <v>755429</v>
      </c>
      <c r="D5314">
        <v>597</v>
      </c>
    </row>
    <row r="5315" spans="1:4" x14ac:dyDescent="0.25">
      <c r="A5315" t="str">
        <f>T("   851829")</f>
        <v xml:space="preserve">   851829</v>
      </c>
      <c r="B5315" t="str">
        <f>T("   Haut-parleurs sans enceinte")</f>
        <v xml:space="preserve">   Haut-parleurs sans enceinte</v>
      </c>
      <c r="C5315">
        <v>20596433</v>
      </c>
      <c r="D5315">
        <v>5147</v>
      </c>
    </row>
    <row r="5316" spans="1:4" x14ac:dyDescent="0.25">
      <c r="A5316" t="str">
        <f>T("   851830")</f>
        <v xml:space="preserve">   851830</v>
      </c>
      <c r="B5316" t="s">
        <v>455</v>
      </c>
      <c r="C5316">
        <v>2146440</v>
      </c>
      <c r="D5316">
        <v>72</v>
      </c>
    </row>
    <row r="5317" spans="1:4" x14ac:dyDescent="0.25">
      <c r="A5317" t="str">
        <f>T("   851840")</f>
        <v xml:space="preserve">   851840</v>
      </c>
      <c r="B5317" t="str">
        <f>T("   Amplificateurs électriques d'audiofréquence")</f>
        <v xml:space="preserve">   Amplificateurs électriques d'audiofréquence</v>
      </c>
      <c r="C5317">
        <v>1421893</v>
      </c>
      <c r="D5317">
        <v>495</v>
      </c>
    </row>
    <row r="5318" spans="1:4" x14ac:dyDescent="0.25">
      <c r="A5318" t="str">
        <f>T("   851850")</f>
        <v xml:space="preserve">   851850</v>
      </c>
      <c r="B5318" t="str">
        <f>T("   Appareils électriques d'amplification du son")</f>
        <v xml:space="preserve">   Appareils électriques d'amplification du son</v>
      </c>
      <c r="C5318">
        <v>141031</v>
      </c>
      <c r="D5318">
        <v>50</v>
      </c>
    </row>
    <row r="5319" spans="1:4" x14ac:dyDescent="0.25">
      <c r="A5319" t="str">
        <f>T("   851890")</f>
        <v xml:space="preserve">   851890</v>
      </c>
      <c r="B5319" t="str">
        <f>T("   Parties de microphones, haut-parleurs, casques d'écoute et écouteurs électro-acoustiques, amplificateurs électriques d'audiofréquence ou appareils électriques d'amplification du son, n.d.a.")</f>
        <v xml:space="preserve">   Parties de microphones, haut-parleurs, casques d'écoute et écouteurs électro-acoustiques, amplificateurs électriques d'audiofréquence ou appareils électriques d'amplification du son, n.d.a.</v>
      </c>
      <c r="C5319">
        <v>707289</v>
      </c>
      <c r="D5319">
        <v>709</v>
      </c>
    </row>
    <row r="5320" spans="1:4" x14ac:dyDescent="0.25">
      <c r="A5320" t="str">
        <f>T("   851999")</f>
        <v xml:space="preserve">   851999</v>
      </c>
      <c r="B5320" t="str">
        <f>T("   Appareils de reproduction du son, n'incorporant pas de dispositif d'enregistrement du son (autres que tourne-disques, électrophones commandés par l'introduction d'une pièce de monnaie ou d'un jeton, machines à dicter et lecteurs de cassettes)")</f>
        <v xml:space="preserve">   Appareils de reproduction du son, n'incorporant pas de dispositif d'enregistrement du son (autres que tourne-disques, électrophones commandés par l'introduction d'une pièce de monnaie ou d'un jeton, machines à dicter et lecteurs de cassettes)</v>
      </c>
      <c r="C5320">
        <v>1263902</v>
      </c>
      <c r="D5320">
        <v>313</v>
      </c>
    </row>
    <row r="5321" spans="1:4" x14ac:dyDescent="0.25">
      <c r="A5321" t="str">
        <f>T("   852033")</f>
        <v xml:space="preserve">   852033</v>
      </c>
      <c r="B5321" t="str">
        <f>T("   Appareils d'enregistrement et de reproduction du son, à cassettes (autres que numériques)")</f>
        <v xml:space="preserve">   Appareils d'enregistrement et de reproduction du son, à cassettes (autres que numériques)</v>
      </c>
      <c r="C5321">
        <v>389020</v>
      </c>
      <c r="D5321">
        <v>1462</v>
      </c>
    </row>
    <row r="5322" spans="1:4" x14ac:dyDescent="0.25">
      <c r="A5322" t="str">
        <f>T("   852190")</f>
        <v xml:space="preserve">   852190</v>
      </c>
      <c r="B5322" t="s">
        <v>458</v>
      </c>
      <c r="C5322">
        <v>1025610</v>
      </c>
      <c r="D5322">
        <v>2565</v>
      </c>
    </row>
    <row r="5323" spans="1:4" x14ac:dyDescent="0.25">
      <c r="A5323" t="str">
        <f>T("   852290")</f>
        <v xml:space="preserve">   852290</v>
      </c>
      <c r="B5323" t="s">
        <v>459</v>
      </c>
      <c r="C5323">
        <v>300000</v>
      </c>
      <c r="D5323">
        <v>10</v>
      </c>
    </row>
    <row r="5324" spans="1:4" x14ac:dyDescent="0.25">
      <c r="A5324" t="str">
        <f>T("   852320")</f>
        <v xml:space="preserve">   852320</v>
      </c>
      <c r="B5324" t="str">
        <f>T("   DISQUES MAGNÉTIQUES NON-ENREGISTRÉS")</f>
        <v xml:space="preserve">   DISQUES MAGNÉTIQUES NON-ENREGISTRÉS</v>
      </c>
      <c r="C5324">
        <v>1131268</v>
      </c>
      <c r="D5324">
        <v>56</v>
      </c>
    </row>
    <row r="5325" spans="1:4" x14ac:dyDescent="0.25">
      <c r="A5325" t="str">
        <f>T("   852330")</f>
        <v xml:space="preserve">   852330</v>
      </c>
      <c r="B5325" t="str">
        <f>T("   Cartes munies d'une piste magnétique non enregistrée")</f>
        <v xml:space="preserve">   Cartes munies d'une piste magnétique non enregistrée</v>
      </c>
      <c r="C5325">
        <v>315460541</v>
      </c>
      <c r="D5325">
        <v>3571.5</v>
      </c>
    </row>
    <row r="5326" spans="1:4" x14ac:dyDescent="0.25">
      <c r="A5326" t="str">
        <f>T("   852390")</f>
        <v xml:space="preserve">   852390</v>
      </c>
      <c r="B5326" t="str">
        <f>T("   SUPPORTS PRÉPARÉS POUR L'ENREGISTREMENT DU SON OU POUR ENREGISTREMENTS ANALOGUES, NON-ENREGISTRÉS (AUTRES QUE BANDES ET DISQUES MAGNÉTIQUES, CARTES MUNIES D'UNE PISTE MAGNÉTIQUE ET PRODUITS DU CHAPITRE 37)")</f>
        <v xml:space="preserve">   SUPPORTS PRÉPARÉS POUR L'ENREGISTREMENT DU SON OU POUR ENREGISTREMENTS ANALOGUES, NON-ENREGISTRÉS (AUTRES QUE BANDES ET DISQUES MAGNÉTIQUES, CARTES MUNIES D'UNE PISTE MAGNÉTIQUE ET PRODUITS DU CHAPITRE 37)</v>
      </c>
      <c r="C5326">
        <v>35387844</v>
      </c>
      <c r="D5326">
        <v>13007.5</v>
      </c>
    </row>
    <row r="5327" spans="1:4" x14ac:dyDescent="0.25">
      <c r="A5327" t="str">
        <f>T("   852439")</f>
        <v xml:space="preserve">   852439</v>
      </c>
      <c r="B5327" t="str">
        <f>T("   Disques enregistrés pour systèmes de lecture optique par faisceau laser, pour la reproduction du son et de l'image ou de l'image uniquement")</f>
        <v xml:space="preserve">   Disques enregistrés pour systèmes de lecture optique par faisceau laser, pour la reproduction du son et de l'image ou de l'image uniquement</v>
      </c>
      <c r="C5327">
        <v>4208325</v>
      </c>
      <c r="D5327">
        <v>2298</v>
      </c>
    </row>
    <row r="5328" spans="1:4" x14ac:dyDescent="0.25">
      <c r="A5328" t="str">
        <f>T("   852460")</f>
        <v xml:space="preserve">   852460</v>
      </c>
      <c r="B5328" t="str">
        <f>T("   Cartes munies d'une piste magnétique enregistrée")</f>
        <v xml:space="preserve">   Cartes munies d'une piste magnétique enregistrée</v>
      </c>
      <c r="C5328">
        <v>15765776</v>
      </c>
      <c r="D5328">
        <v>92.2</v>
      </c>
    </row>
    <row r="5329" spans="1:4" x14ac:dyDescent="0.25">
      <c r="A5329" t="str">
        <f>T("   852491")</f>
        <v xml:space="preserve">   852491</v>
      </c>
      <c r="B5329" t="s">
        <v>460</v>
      </c>
      <c r="C5329">
        <v>3831069</v>
      </c>
      <c r="D5329">
        <v>747</v>
      </c>
    </row>
    <row r="5330" spans="1:4" x14ac:dyDescent="0.25">
      <c r="A5330" t="str">
        <f>T("   852499")</f>
        <v xml:space="preserve">   852499</v>
      </c>
      <c r="B5330" t="s">
        <v>461</v>
      </c>
      <c r="C5330">
        <v>25173016</v>
      </c>
      <c r="D5330">
        <v>708</v>
      </c>
    </row>
    <row r="5331" spans="1:4" x14ac:dyDescent="0.25">
      <c r="A5331" t="str">
        <f>T("   852510")</f>
        <v xml:space="preserve">   852510</v>
      </c>
      <c r="B5331" t="str">
        <f>T("   Appareils d'émission, pour la radiotéléphonie, la radiotélégraphie, la radiodiffusion ou la télévision")</f>
        <v xml:space="preserve">   Appareils d'émission, pour la radiotéléphonie, la radiotélégraphie, la radiodiffusion ou la télévision</v>
      </c>
      <c r="C5331">
        <v>32798</v>
      </c>
      <c r="D5331">
        <v>2</v>
      </c>
    </row>
    <row r="5332" spans="1:4" x14ac:dyDescent="0.25">
      <c r="A5332" t="str">
        <f>T("   852520")</f>
        <v xml:space="preserve">   852520</v>
      </c>
      <c r="B5332" t="str">
        <f>T("   Appareils d'émission incorporant un appareil de réception, pour la radiotéléphonie, la radiotélégraphie, la radiodiffusion ou la télévision")</f>
        <v xml:space="preserve">   Appareils d'émission incorporant un appareil de réception, pour la radiotéléphonie, la radiotélégraphie, la radiodiffusion ou la télévision</v>
      </c>
      <c r="C5332">
        <v>11877434</v>
      </c>
      <c r="D5332">
        <v>547</v>
      </c>
    </row>
    <row r="5333" spans="1:4" x14ac:dyDescent="0.25">
      <c r="A5333" t="str">
        <f>T("   852530")</f>
        <v xml:space="preserve">   852530</v>
      </c>
      <c r="B5333" t="str">
        <f>T("   Caméras de télévision (à l'excl. de caméscopes)")</f>
        <v xml:space="preserve">   Caméras de télévision (à l'excl. de caméscopes)</v>
      </c>
      <c r="C5333">
        <v>4153230</v>
      </c>
      <c r="D5333">
        <v>315</v>
      </c>
    </row>
    <row r="5334" spans="1:4" x14ac:dyDescent="0.25">
      <c r="A5334" t="str">
        <f>T("   852540")</f>
        <v xml:space="preserve">   852540</v>
      </c>
      <c r="B5334" t="str">
        <f>T("   Appareils de prise de vues fixes vidéo et autres caméscopes; appareils photographiques numériques")</f>
        <v xml:space="preserve">   Appareils de prise de vues fixes vidéo et autres caméscopes; appareils photographiques numériques</v>
      </c>
      <c r="C5334">
        <v>38143289</v>
      </c>
      <c r="D5334">
        <v>742</v>
      </c>
    </row>
    <row r="5335" spans="1:4" x14ac:dyDescent="0.25">
      <c r="A5335" t="str">
        <f>T("   852691")</f>
        <v xml:space="preserve">   852691</v>
      </c>
      <c r="B5335" t="str">
        <f>T("   Appareils de radionavigation")</f>
        <v xml:space="preserve">   Appareils de radionavigation</v>
      </c>
      <c r="C5335">
        <v>321133052</v>
      </c>
      <c r="D5335">
        <v>946</v>
      </c>
    </row>
    <row r="5336" spans="1:4" x14ac:dyDescent="0.25">
      <c r="A5336" t="str">
        <f>T("   852712")</f>
        <v xml:space="preserve">   852712</v>
      </c>
      <c r="B5336" t="str">
        <f>T("   Radiocassettes de poche [dimensions &lt;= 170 mm x 100 mm x 45 mm], avec amplificateur incorporé, sans haut-parleur incorporé, pouvant fonctionner sans source d'énergie électrique extérieure")</f>
        <v xml:space="preserve">   Radiocassettes de poche [dimensions &lt;= 170 mm x 100 mm x 45 mm], avec amplificateur incorporé, sans haut-parleur incorporé, pouvant fonctionner sans source d'énergie électrique extérieure</v>
      </c>
      <c r="C5336">
        <v>394986</v>
      </c>
      <c r="D5336">
        <v>33</v>
      </c>
    </row>
    <row r="5337" spans="1:4" x14ac:dyDescent="0.25">
      <c r="A5337" t="str">
        <f>T("   852719")</f>
        <v xml:space="preserve">   852719</v>
      </c>
      <c r="B5337" t="str">
        <f>T("   Récepteurs de radiodiffusion pouvant fonctionner sans source d'énergie extérieure, y.c. les appareils recevant également la radiotéléphonie ou la radiotélégraphie, non combinés à un appareil d'enregistrement et de reproduction du son")</f>
        <v xml:space="preserve">   Récepteurs de radiodiffusion pouvant fonctionner sans source d'énergie extérieure, y.c. les appareils recevant également la radiotéléphonie ou la radiotélégraphie, non combinés à un appareil d'enregistrement et de reproduction du son</v>
      </c>
      <c r="C5337">
        <v>1967880</v>
      </c>
      <c r="D5337">
        <v>182</v>
      </c>
    </row>
    <row r="5338" spans="1:4" x14ac:dyDescent="0.25">
      <c r="A5338" t="str">
        <f>T("   852729")</f>
        <v xml:space="preserve">   852729</v>
      </c>
      <c r="B5338" t="s">
        <v>462</v>
      </c>
      <c r="C5338">
        <v>129277303</v>
      </c>
      <c r="D5338">
        <v>2653</v>
      </c>
    </row>
    <row r="5339" spans="1:4" x14ac:dyDescent="0.25">
      <c r="A5339" t="str">
        <f>T("   852731")</f>
        <v xml:space="preserve">   852731</v>
      </c>
      <c r="B5339" t="s">
        <v>463</v>
      </c>
      <c r="C5339">
        <v>8798597</v>
      </c>
      <c r="D5339">
        <v>5728</v>
      </c>
    </row>
    <row r="5340" spans="1:4" x14ac:dyDescent="0.25">
      <c r="A5340" t="str">
        <f>T("   852739")</f>
        <v xml:space="preserve">   852739</v>
      </c>
      <c r="B5340" t="s">
        <v>464</v>
      </c>
      <c r="C5340">
        <v>4767335</v>
      </c>
      <c r="D5340">
        <v>683</v>
      </c>
    </row>
    <row r="5341" spans="1:4" x14ac:dyDescent="0.25">
      <c r="A5341" t="str">
        <f>T("   852790")</f>
        <v xml:space="preserve">   852790</v>
      </c>
      <c r="B5341" t="str">
        <f>T("   Récepteurs pour la radiotéléphonie, la radiotélégraphie ou la radiodiffusion commerciale")</f>
        <v xml:space="preserve">   Récepteurs pour la radiotéléphonie, la radiotélégraphie ou la radiodiffusion commerciale</v>
      </c>
      <c r="C5341">
        <v>783872</v>
      </c>
      <c r="D5341">
        <v>108</v>
      </c>
    </row>
    <row r="5342" spans="1:4" x14ac:dyDescent="0.25">
      <c r="A5342" t="str">
        <f>T("   852812")</f>
        <v xml:space="preserve">   852812</v>
      </c>
      <c r="B5342"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5342">
        <v>277325731</v>
      </c>
      <c r="D5342">
        <v>97543</v>
      </c>
    </row>
    <row r="5343" spans="1:4" x14ac:dyDescent="0.25">
      <c r="A5343" t="str">
        <f>T("   852813")</f>
        <v xml:space="preserve">   852813</v>
      </c>
      <c r="B5343" t="str">
        <f>T("   Appareils récepteurs pour la télévision en noir et blanc ou en autres monochromes, même incorporant un appareil récepteur de radiodiffusion ou un appareil d'enregistrement ou de reproduction du son ou des images")</f>
        <v xml:space="preserve">   Appareils récepteurs pour la télévision en noir et blanc ou en autres monochromes, même incorporant un appareil récepteur de radiodiffusion ou un appareil d'enregistrement ou de reproduction du son ou des images</v>
      </c>
      <c r="C5343">
        <v>2996699</v>
      </c>
      <c r="D5343">
        <v>195</v>
      </c>
    </row>
    <row r="5344" spans="1:4" x14ac:dyDescent="0.25">
      <c r="A5344" t="str">
        <f>T("   852821")</f>
        <v xml:space="preserve">   852821</v>
      </c>
      <c r="B5344" t="str">
        <f>T("   Moniteurs vidéo en couleurs")</f>
        <v xml:space="preserve">   Moniteurs vidéo en couleurs</v>
      </c>
      <c r="C5344">
        <v>7049642</v>
      </c>
      <c r="D5344">
        <v>95</v>
      </c>
    </row>
    <row r="5345" spans="1:4" x14ac:dyDescent="0.25">
      <c r="A5345" t="str">
        <f>T("   852830")</f>
        <v xml:space="preserve">   852830</v>
      </c>
      <c r="B5345" t="str">
        <f>T("   Projecteurs vidéo")</f>
        <v xml:space="preserve">   Projecteurs vidéo</v>
      </c>
      <c r="C5345">
        <v>5766840</v>
      </c>
      <c r="D5345">
        <v>83</v>
      </c>
    </row>
    <row r="5346" spans="1:4" x14ac:dyDescent="0.25">
      <c r="A5346" t="str">
        <f>T("   852910")</f>
        <v xml:space="preserve">   852910</v>
      </c>
      <c r="B5346" t="str">
        <f>T("   Antennes et réflecteurs d'antennes de tous types; parties reconnaissables comme étant utilisées conjointement avec ces articles, n.d.a.")</f>
        <v xml:space="preserve">   Antennes et réflecteurs d'antennes de tous types; parties reconnaissables comme étant utilisées conjointement avec ces articles, n.d.a.</v>
      </c>
      <c r="C5346">
        <v>50976406</v>
      </c>
      <c r="D5346">
        <v>37946</v>
      </c>
    </row>
    <row r="5347" spans="1:4" x14ac:dyDescent="0.25">
      <c r="A5347" t="str">
        <f>T("   852990")</f>
        <v xml:space="preserve">   852990</v>
      </c>
      <c r="B5347" t="s">
        <v>466</v>
      </c>
      <c r="C5347">
        <v>115751523</v>
      </c>
      <c r="D5347">
        <v>6596</v>
      </c>
    </row>
    <row r="5348" spans="1:4" x14ac:dyDescent="0.25">
      <c r="A5348" t="str">
        <f>T("   853080")</f>
        <v xml:space="preserve">   853080</v>
      </c>
      <c r="B5348" t="str">
        <f>T("   Appareils électriques de signalisation (autres que pour la transmission de messages), de sécurité, de contrôle ou de commande (autres que pour voies ferrées ou simil. et que les appareils mécaniques ou électromécaniques du n° 8608)")</f>
        <v xml:space="preserve">   Appareils électriques de signalisation (autres que pour la transmission de messages), de sécurité, de contrôle ou de commande (autres que pour voies ferrées ou simil. et que les appareils mécaniques ou électromécaniques du n° 8608)</v>
      </c>
      <c r="C5348">
        <v>1830489</v>
      </c>
      <c r="D5348">
        <v>3</v>
      </c>
    </row>
    <row r="5349" spans="1:4" x14ac:dyDescent="0.25">
      <c r="A5349" t="str">
        <f>T("   853110")</f>
        <v xml:space="preserve">   853110</v>
      </c>
      <c r="B5349" t="str">
        <f>T("   Avertisseurs électriques pour la protection contre le vol ou l'incendie et appareils simil.")</f>
        <v xml:space="preserve">   Avertisseurs électriques pour la protection contre le vol ou l'incendie et appareils simil.</v>
      </c>
      <c r="C5349">
        <v>4908699</v>
      </c>
      <c r="D5349">
        <v>170.49</v>
      </c>
    </row>
    <row r="5350" spans="1:4" x14ac:dyDescent="0.25">
      <c r="A5350" t="str">
        <f>T("   853180")</f>
        <v xml:space="preserve">   853180</v>
      </c>
      <c r="B5350" t="s">
        <v>467</v>
      </c>
      <c r="C5350">
        <v>7802047</v>
      </c>
      <c r="D5350">
        <v>1809</v>
      </c>
    </row>
    <row r="5351" spans="1:4" x14ac:dyDescent="0.25">
      <c r="A5351" t="str">
        <f>T("   853210")</f>
        <v xml:space="preserve">   853210</v>
      </c>
      <c r="B5351" t="str">
        <f>T("   Condensateurs électriques fixes conçus pour les réseaux électriques de 50/60 Hz et capables d'absorber une puissance réactive &gt;= 0,5 kvar [condensateurs de puissance]")</f>
        <v xml:space="preserve">   Condensateurs électriques fixes conçus pour les réseaux électriques de 50/60 Hz et capables d'absorber une puissance réactive &gt;= 0,5 kvar [condensateurs de puissance]</v>
      </c>
      <c r="C5351">
        <v>10932741</v>
      </c>
      <c r="D5351">
        <v>475</v>
      </c>
    </row>
    <row r="5352" spans="1:4" x14ac:dyDescent="0.25">
      <c r="A5352" t="str">
        <f>T("   853230")</f>
        <v xml:space="preserve">   853230</v>
      </c>
      <c r="B5352" t="str">
        <f>T("   Condensateurs électriques variables ou ajustables")</f>
        <v xml:space="preserve">   Condensateurs électriques variables ou ajustables</v>
      </c>
      <c r="C5352">
        <v>1341438</v>
      </c>
      <c r="D5352">
        <v>89</v>
      </c>
    </row>
    <row r="5353" spans="1:4" x14ac:dyDescent="0.25">
      <c r="A5353" t="str">
        <f>T("   853339")</f>
        <v xml:space="preserve">   853339</v>
      </c>
      <c r="B5353" t="str">
        <f>T("   Résistances électriques variables 'y compris les rhéostats et les potentiomètres', bobinées, pour une puissance &gt; 20 W (non chauffantes)")</f>
        <v xml:space="preserve">   Résistances électriques variables 'y compris les rhéostats et les potentiomètres', bobinées, pour une puissance &gt; 20 W (non chauffantes)</v>
      </c>
      <c r="C5353">
        <v>200000</v>
      </c>
      <c r="D5353">
        <v>113</v>
      </c>
    </row>
    <row r="5354" spans="1:4" x14ac:dyDescent="0.25">
      <c r="A5354" t="str">
        <f>T("   853340")</f>
        <v xml:space="preserve">   853340</v>
      </c>
      <c r="B5354" t="str">
        <f>T("   RÉSISTANCES ÉLECTRIQUES VARIABLES 'Y.C. LES RHÉOSTATS ET LES POTENTIOMÈTRES' (AUTRES QUE RÉSISTANCES VARIABLES BOBINÉES ET RÉSISTANCES CHAUFFANTES)")</f>
        <v xml:space="preserve">   RÉSISTANCES ÉLECTRIQUES VARIABLES 'Y.C. LES RHÉOSTATS ET LES POTENTIOMÈTRES' (AUTRES QUE RÉSISTANCES VARIABLES BOBINÉES ET RÉSISTANCES CHAUFFANTES)</v>
      </c>
      <c r="C5354">
        <v>223807</v>
      </c>
      <c r="D5354">
        <v>21</v>
      </c>
    </row>
    <row r="5355" spans="1:4" x14ac:dyDescent="0.25">
      <c r="A5355" t="str">
        <f>T("   853390")</f>
        <v xml:space="preserve">   853390</v>
      </c>
      <c r="B5355" t="str">
        <f>T("   Parties de résistances électriques, y.c. de rhéostats et de potentiomètres, n.d.a.")</f>
        <v xml:space="preserve">   Parties de résistances électriques, y.c. de rhéostats et de potentiomètres, n.d.a.</v>
      </c>
      <c r="C5355">
        <v>18120895</v>
      </c>
      <c r="D5355">
        <v>880</v>
      </c>
    </row>
    <row r="5356" spans="1:4" x14ac:dyDescent="0.25">
      <c r="A5356" t="str">
        <f>T("   853400")</f>
        <v xml:space="preserve">   853400</v>
      </c>
      <c r="B5356" t="str">
        <f>T("   Circuits imprimés")</f>
        <v xml:space="preserve">   Circuits imprimés</v>
      </c>
      <c r="C5356">
        <v>102986</v>
      </c>
      <c r="D5356">
        <v>1</v>
      </c>
    </row>
    <row r="5357" spans="1:4" x14ac:dyDescent="0.25">
      <c r="A5357" t="str">
        <f>T("   853529")</f>
        <v xml:space="preserve">   853529</v>
      </c>
      <c r="B5357" t="str">
        <f>T("   Disjoncteurs, pour une tension &gt;= 72,5 kV")</f>
        <v xml:space="preserve">   Disjoncteurs, pour une tension &gt;= 72,5 kV</v>
      </c>
      <c r="C5357">
        <v>100362</v>
      </c>
      <c r="D5357">
        <v>10</v>
      </c>
    </row>
    <row r="5358" spans="1:4" x14ac:dyDescent="0.25">
      <c r="A5358" t="str">
        <f>T("   853530")</f>
        <v xml:space="preserve">   853530</v>
      </c>
      <c r="B5358" t="str">
        <f>T("   Sectionneurs et interrupteurs, pour une tension &gt; 1.000 V")</f>
        <v xml:space="preserve">   Sectionneurs et interrupteurs, pour une tension &gt; 1.000 V</v>
      </c>
      <c r="C5358">
        <v>10325775</v>
      </c>
      <c r="D5358">
        <v>1569</v>
      </c>
    </row>
    <row r="5359" spans="1:4" x14ac:dyDescent="0.25">
      <c r="A5359" t="str">
        <f>T("   853540")</f>
        <v xml:space="preserve">   853540</v>
      </c>
      <c r="B5359" t="str">
        <f>T("   Parafoudres, limiteurs de tension et étaleurs d'ondes, pour une tension &gt; 1.000 V")</f>
        <v xml:space="preserve">   Parafoudres, limiteurs de tension et étaleurs d'ondes, pour une tension &gt; 1.000 V</v>
      </c>
      <c r="C5359">
        <v>33829986</v>
      </c>
      <c r="D5359">
        <v>1470.29</v>
      </c>
    </row>
    <row r="5360" spans="1:4" x14ac:dyDescent="0.25">
      <c r="A5360" t="str">
        <f>T("   853590")</f>
        <v xml:space="preserve">   853590</v>
      </c>
      <c r="B5360" t="s">
        <v>468</v>
      </c>
      <c r="C5360">
        <v>9719522</v>
      </c>
      <c r="D5360">
        <v>2606</v>
      </c>
    </row>
    <row r="5361" spans="1:4" x14ac:dyDescent="0.25">
      <c r="A5361" t="str">
        <f>T("   853610")</f>
        <v xml:space="preserve">   853610</v>
      </c>
      <c r="B5361" t="str">
        <f>T("   Fusibles et coupe-circuit à fusibles, pour une tension &lt;= 1.000 V")</f>
        <v xml:space="preserve">   Fusibles et coupe-circuit à fusibles, pour une tension &lt;= 1.000 V</v>
      </c>
      <c r="C5361">
        <v>21803887</v>
      </c>
      <c r="D5361">
        <v>1213</v>
      </c>
    </row>
    <row r="5362" spans="1:4" x14ac:dyDescent="0.25">
      <c r="A5362" t="str">
        <f>T("   853620")</f>
        <v xml:space="preserve">   853620</v>
      </c>
      <c r="B5362" t="str">
        <f>T("   Disjoncteurs, pour une tension &lt;= 1.000 V")</f>
        <v xml:space="preserve">   Disjoncteurs, pour une tension &lt;= 1.000 V</v>
      </c>
      <c r="C5362">
        <v>166060682</v>
      </c>
      <c r="D5362">
        <v>24990.959999999999</v>
      </c>
    </row>
    <row r="5363" spans="1:4" x14ac:dyDescent="0.25">
      <c r="A5363" t="str">
        <f>T("   853630")</f>
        <v xml:space="preserve">   853630</v>
      </c>
      <c r="B5363" t="str">
        <f>T("   APPAREILS POUR LA PROTECTION DES CIRCUITS ÉLECTRIQUES (SAUF FUSIBLES, COUPE-CIRCUIT À FUSIBLES ET DISJONCTEURS), POUR UNE TENSION &lt;= 1.000 V")</f>
        <v xml:space="preserve">   APPAREILS POUR LA PROTECTION DES CIRCUITS ÉLECTRIQUES (SAUF FUSIBLES, COUPE-CIRCUIT À FUSIBLES ET DISJONCTEURS), POUR UNE TENSION &lt;= 1.000 V</v>
      </c>
      <c r="C5363">
        <v>54702374</v>
      </c>
      <c r="D5363">
        <v>3297.01</v>
      </c>
    </row>
    <row r="5364" spans="1:4" x14ac:dyDescent="0.25">
      <c r="A5364" t="str">
        <f>T("   853641")</f>
        <v xml:space="preserve">   853641</v>
      </c>
      <c r="B5364" t="str">
        <f>T("   Relais pour une tension &lt;= 60 V")</f>
        <v xml:space="preserve">   Relais pour une tension &lt;= 60 V</v>
      </c>
      <c r="C5364">
        <v>1199297</v>
      </c>
      <c r="D5364">
        <v>214</v>
      </c>
    </row>
    <row r="5365" spans="1:4" x14ac:dyDescent="0.25">
      <c r="A5365" t="str">
        <f>T("   853649")</f>
        <v xml:space="preserve">   853649</v>
      </c>
      <c r="B5365" t="str">
        <f>T("   Relais, pour une tension &gt; 60 V mais &lt;= 1.000 V")</f>
        <v xml:space="preserve">   Relais, pour une tension &gt; 60 V mais &lt;= 1.000 V</v>
      </c>
      <c r="C5365">
        <v>37530168</v>
      </c>
      <c r="D5365">
        <v>1394.5</v>
      </c>
    </row>
    <row r="5366" spans="1:4" x14ac:dyDescent="0.25">
      <c r="A5366" t="str">
        <f>T("   853650")</f>
        <v xml:space="preserve">   853650</v>
      </c>
      <c r="B5366" t="str">
        <f>T("   Interrupteurs, sectionneurs et commutateurs, pour une tension &lt;= 1.000 V (autres que relais et disjoncteurs)")</f>
        <v xml:space="preserve">   Interrupteurs, sectionneurs et commutateurs, pour une tension &lt;= 1.000 V (autres que relais et disjoncteurs)</v>
      </c>
      <c r="C5366">
        <v>104011437</v>
      </c>
      <c r="D5366">
        <v>16479.63</v>
      </c>
    </row>
    <row r="5367" spans="1:4" x14ac:dyDescent="0.25">
      <c r="A5367" t="str">
        <f>T("   853661")</f>
        <v xml:space="preserve">   853661</v>
      </c>
      <c r="B5367" t="str">
        <f>T("   Douilles pour lampes, pour une tension &lt;= 1.000 V")</f>
        <v xml:space="preserve">   Douilles pour lampes, pour une tension &lt;= 1.000 V</v>
      </c>
      <c r="C5367">
        <v>1196471</v>
      </c>
      <c r="D5367">
        <v>186</v>
      </c>
    </row>
    <row r="5368" spans="1:4" x14ac:dyDescent="0.25">
      <c r="A5368" t="str">
        <f>T("   853669")</f>
        <v xml:space="preserve">   853669</v>
      </c>
      <c r="B5368" t="str">
        <f>T("   Fiches et prises de courant, pour une tension &lt;= 1.000 V (sauf douilles pour lampes)")</f>
        <v xml:space="preserve">   Fiches et prises de courant, pour une tension &lt;= 1.000 V (sauf douilles pour lampes)</v>
      </c>
      <c r="C5368">
        <v>98690861</v>
      </c>
      <c r="D5368">
        <v>24246.75</v>
      </c>
    </row>
    <row r="5369" spans="1:4" x14ac:dyDescent="0.25">
      <c r="A5369" t="str">
        <f>T("   853690")</f>
        <v xml:space="preserve">   853690</v>
      </c>
      <c r="B5369" t="s">
        <v>469</v>
      </c>
      <c r="C5369">
        <v>265048438</v>
      </c>
      <c r="D5369">
        <v>22638.1</v>
      </c>
    </row>
    <row r="5370" spans="1:4" x14ac:dyDescent="0.25">
      <c r="A5370" t="str">
        <f>T("   853710")</f>
        <v xml:space="preserve">   853710</v>
      </c>
      <c r="B5370" t="str">
        <f>T("   Tableaux, armoires et combinaisons d'appareils simil., pour la commande ou la distribution électrique, pour une tension &gt;= 1.000 V")</f>
        <v xml:space="preserve">   Tableaux, armoires et combinaisons d'appareils simil., pour la commande ou la distribution électrique, pour une tension &gt;= 1.000 V</v>
      </c>
      <c r="C5370">
        <v>32058440</v>
      </c>
      <c r="D5370">
        <v>1915.9</v>
      </c>
    </row>
    <row r="5371" spans="1:4" x14ac:dyDescent="0.25">
      <c r="A5371" t="str">
        <f>T("   853720")</f>
        <v xml:space="preserve">   853720</v>
      </c>
      <c r="B5371" t="str">
        <f>T("   Tableaux, armoires et combinaisons d'appareils simil., pour la commande ou la distribution électrique, pour une tension &gt; 1.000 V")</f>
        <v xml:space="preserve">   Tableaux, armoires et combinaisons d'appareils simil., pour la commande ou la distribution électrique, pour une tension &gt; 1.000 V</v>
      </c>
      <c r="C5371">
        <v>163758327</v>
      </c>
      <c r="D5371">
        <v>8008</v>
      </c>
    </row>
    <row r="5372" spans="1:4" x14ac:dyDescent="0.25">
      <c r="A5372" t="str">
        <f>T("   853810")</f>
        <v xml:space="preserve">   853810</v>
      </c>
      <c r="B5372" t="str">
        <f>T("   Tableaux, panneaux, consoles, pupitres, armoires et autres supports pour articles du n° 8537, dépourvus de leurs appareils")</f>
        <v xml:space="preserve">   Tableaux, panneaux, consoles, pupitres, armoires et autres supports pour articles du n° 8537, dépourvus de leurs appareils</v>
      </c>
      <c r="C5372">
        <v>111097235</v>
      </c>
      <c r="D5372">
        <v>5601</v>
      </c>
    </row>
    <row r="5373" spans="1:4" x14ac:dyDescent="0.25">
      <c r="A5373" t="str">
        <f>T("   853890")</f>
        <v xml:space="preserve">   853890</v>
      </c>
      <c r="B5373" t="s">
        <v>470</v>
      </c>
      <c r="C5373">
        <v>105484335</v>
      </c>
      <c r="D5373">
        <v>16283</v>
      </c>
    </row>
    <row r="5374" spans="1:4" x14ac:dyDescent="0.25">
      <c r="A5374" t="str">
        <f>T("   853910")</f>
        <v xml:space="preserve">   853910</v>
      </c>
      <c r="B5374" t="str">
        <f>T("   Phares et projecteurs scellés")</f>
        <v xml:space="preserve">   Phares et projecteurs scellés</v>
      </c>
      <c r="C5374">
        <v>47650247</v>
      </c>
      <c r="D5374">
        <v>7820</v>
      </c>
    </row>
    <row r="5375" spans="1:4" x14ac:dyDescent="0.25">
      <c r="A5375" t="str">
        <f>T("   853921")</f>
        <v xml:space="preserve">   853921</v>
      </c>
      <c r="B5375" t="str">
        <f>T("   Lampes et tubes halogènes, au tungstène (autres que phares et projecteurs scellés)")</f>
        <v xml:space="preserve">   Lampes et tubes halogènes, au tungstène (autres que phares et projecteurs scellés)</v>
      </c>
      <c r="C5375">
        <v>358810</v>
      </c>
      <c r="D5375">
        <v>15</v>
      </c>
    </row>
    <row r="5376" spans="1:4" x14ac:dyDescent="0.25">
      <c r="A5376" t="str">
        <f>T("   853929")</f>
        <v xml:space="preserve">   853929</v>
      </c>
      <c r="B5376" t="str">
        <f>T("   Lampes et tubes à incandescence électriques (autres que lampes et tubes halogènes, au tungstène, lampes d'une puissance &lt;= 200 W et pour une tension &gt; 100 V, et lampes à rayons ultraviolets ou infrarouges)")</f>
        <v xml:space="preserve">   Lampes et tubes à incandescence électriques (autres que lampes et tubes halogènes, au tungstène, lampes d'une puissance &lt;= 200 W et pour une tension &gt; 100 V, et lampes à rayons ultraviolets ou infrarouges)</v>
      </c>
      <c r="C5376">
        <v>4952716</v>
      </c>
      <c r="D5376">
        <v>493</v>
      </c>
    </row>
    <row r="5377" spans="1:4" x14ac:dyDescent="0.25">
      <c r="A5377" t="str">
        <f>T("   853931")</f>
        <v xml:space="preserve">   853931</v>
      </c>
      <c r="B5377" t="str">
        <f>T("   Lampes et tubes à décharge, fluorescents, à cathode chaude")</f>
        <v xml:space="preserve">   Lampes et tubes à décharge, fluorescents, à cathode chaude</v>
      </c>
      <c r="C5377">
        <v>9223400</v>
      </c>
      <c r="D5377">
        <v>1837</v>
      </c>
    </row>
    <row r="5378" spans="1:4" x14ac:dyDescent="0.25">
      <c r="A5378" t="str">
        <f>T("   853932")</f>
        <v xml:space="preserve">   853932</v>
      </c>
      <c r="B5378" t="str">
        <f>T("   Lampes à vapeur de mercure ou de sodium; lampes à halogénure métallique")</f>
        <v xml:space="preserve">   Lampes à vapeur de mercure ou de sodium; lampes à halogénure métallique</v>
      </c>
      <c r="C5378">
        <v>493577</v>
      </c>
      <c r="D5378">
        <v>31</v>
      </c>
    </row>
    <row r="5379" spans="1:4" x14ac:dyDescent="0.25">
      <c r="A5379" t="str">
        <f>T("   853939")</f>
        <v xml:space="preserve">   853939</v>
      </c>
      <c r="B5379" t="str">
        <f>T("   Lampes et tubes à décharge (autres que fluorescents, à cathode chaude, à vapeur de mercure ou de sodium, à halogénure métallique et qu'à rayons ultraviolets)")</f>
        <v xml:space="preserve">   Lampes et tubes à décharge (autres que fluorescents, à cathode chaude, à vapeur de mercure ou de sodium, à halogénure métallique et qu'à rayons ultraviolets)</v>
      </c>
      <c r="C5379">
        <v>14575538</v>
      </c>
      <c r="D5379">
        <v>4348.5</v>
      </c>
    </row>
    <row r="5380" spans="1:4" x14ac:dyDescent="0.25">
      <c r="A5380" t="str">
        <f>T("   853949")</f>
        <v xml:space="preserve">   853949</v>
      </c>
      <c r="B5380" t="str">
        <f>T("   Lampes et tubes à rayons ultraviolets ou infrarouges")</f>
        <v xml:space="preserve">   Lampes et tubes à rayons ultraviolets ou infrarouges</v>
      </c>
      <c r="C5380">
        <v>21129517</v>
      </c>
      <c r="D5380">
        <v>505</v>
      </c>
    </row>
    <row r="5381" spans="1:4" x14ac:dyDescent="0.25">
      <c r="A5381" t="str">
        <f>T("   853990")</f>
        <v xml:space="preserve">   853990</v>
      </c>
      <c r="B5381" t="str">
        <f>T("   Parties de lampes et de tubes à incandescence ou à décharge, de phares et projecteurs scellés, de lampes à rayons ultraviolets et infrarouges et de lampes à arc, n.d.a.")</f>
        <v xml:space="preserve">   Parties de lampes et de tubes à incandescence ou à décharge, de phares et projecteurs scellés, de lampes à rayons ultraviolets et infrarouges et de lampes à arc, n.d.a.</v>
      </c>
      <c r="C5381">
        <v>73369</v>
      </c>
      <c r="D5381">
        <v>1</v>
      </c>
    </row>
    <row r="5382" spans="1:4" x14ac:dyDescent="0.25">
      <c r="A5382" t="str">
        <f>T("   854089")</f>
        <v xml:space="preserve">   854089</v>
      </c>
      <c r="B5382" t="s">
        <v>471</v>
      </c>
      <c r="C5382">
        <v>3166411</v>
      </c>
      <c r="D5382">
        <v>43</v>
      </c>
    </row>
    <row r="5383" spans="1:4" x14ac:dyDescent="0.25">
      <c r="A5383" t="str">
        <f>T("   854110")</f>
        <v xml:space="preserve">   854110</v>
      </c>
      <c r="B5383" t="str">
        <f>T("   Diodes (sauf photodiodes et diodes émettrices de lumière)")</f>
        <v xml:space="preserve">   Diodes (sauf photodiodes et diodes émettrices de lumière)</v>
      </c>
      <c r="C5383">
        <v>593821</v>
      </c>
      <c r="D5383">
        <v>7.5</v>
      </c>
    </row>
    <row r="5384" spans="1:4" x14ac:dyDescent="0.25">
      <c r="A5384" t="str">
        <f>T("   854140")</f>
        <v xml:space="preserve">   854140</v>
      </c>
      <c r="B5384" t="str">
        <f>T("   Dispositifs photosensibles à semi-conducteur, y.c. les cellules photovoltaïques même assemblées en modules ou constituées en panneaux; diodes émettrices de lumière (sauf génératrices photovoltaïques)")</f>
        <v xml:space="preserve">   Dispositifs photosensibles à semi-conducteur, y.c. les cellules photovoltaïques même assemblées en modules ou constituées en panneaux; diodes émettrices de lumière (sauf génératrices photovoltaïques)</v>
      </c>
      <c r="C5384">
        <v>4457759</v>
      </c>
      <c r="D5384">
        <v>785</v>
      </c>
    </row>
    <row r="5385" spans="1:4" x14ac:dyDescent="0.25">
      <c r="A5385" t="str">
        <f>T("   854150")</f>
        <v xml:space="preserve">   854150</v>
      </c>
      <c r="B5385" t="str">
        <f>T("   Dispositifs à semi-conducteur, n.d.a.")</f>
        <v xml:space="preserve">   Dispositifs à semi-conducteur, n.d.a.</v>
      </c>
      <c r="C5385">
        <v>1275855</v>
      </c>
      <c r="D5385">
        <v>39</v>
      </c>
    </row>
    <row r="5386" spans="1:4" x14ac:dyDescent="0.25">
      <c r="A5386" t="str">
        <f>T("   854210")</f>
        <v xml:space="preserve">   854210</v>
      </c>
      <c r="B5386" t="str">
        <f>T("   Cartes munies d'un circuit intégré électronique [cartes intelligentes], munies ou non d'une piste magnétique")</f>
        <v xml:space="preserve">   Cartes munies d'un circuit intégré électronique [cartes intelligentes], munies ou non d'une piste magnétique</v>
      </c>
      <c r="C5386">
        <v>38229370</v>
      </c>
      <c r="D5386">
        <v>225.2</v>
      </c>
    </row>
    <row r="5387" spans="1:4" x14ac:dyDescent="0.25">
      <c r="A5387" t="str">
        <f>T("   854221")</f>
        <v xml:space="preserve">   854221</v>
      </c>
      <c r="B5387" t="str">
        <f>T("   Circuits intégrés monolithiques, numériques (à l'excl. des cartes munies d'un circuit intégré électronique [cartes intelligentes])")</f>
        <v xml:space="preserve">   Circuits intégrés monolithiques, numériques (à l'excl. des cartes munies d'un circuit intégré électronique [cartes intelligentes])</v>
      </c>
      <c r="C5387">
        <v>16433104</v>
      </c>
      <c r="D5387">
        <v>435</v>
      </c>
    </row>
    <row r="5388" spans="1:4" x14ac:dyDescent="0.25">
      <c r="A5388" t="str">
        <f>T("   854229")</f>
        <v xml:space="preserve">   854229</v>
      </c>
      <c r="B5388" t="str">
        <f>T("   Circuits intégrés monolithiques, analogiques ou analogiques-numériques")</f>
        <v xml:space="preserve">   Circuits intégrés monolithiques, analogiques ou analogiques-numériques</v>
      </c>
      <c r="C5388">
        <v>441120</v>
      </c>
      <c r="D5388">
        <v>26</v>
      </c>
    </row>
    <row r="5389" spans="1:4" x14ac:dyDescent="0.25">
      <c r="A5389" t="str">
        <f>T("   854270")</f>
        <v xml:space="preserve">   854270</v>
      </c>
      <c r="B5389" t="str">
        <f>T("   Micro-assemblages électroniques formés de composants discrets, actifs ou actifs et passifs, inséparables")</f>
        <v xml:space="preserve">   Micro-assemblages électroniques formés de composants discrets, actifs ou actifs et passifs, inséparables</v>
      </c>
      <c r="C5389">
        <v>2274245</v>
      </c>
      <c r="D5389">
        <v>104</v>
      </c>
    </row>
    <row r="5390" spans="1:4" x14ac:dyDescent="0.25">
      <c r="A5390" t="str">
        <f>T("   854389")</f>
        <v xml:space="preserve">   854389</v>
      </c>
      <c r="B5390" t="str">
        <f>T("   MACHINES ET APPAREILS ÉLECTRIQUES AYANT UNE FONCTION PROPRE, N.D.A. DANS LE CHAPITRE 85")</f>
        <v xml:space="preserve">   MACHINES ET APPAREILS ÉLECTRIQUES AYANT UNE FONCTION PROPRE, N.D.A. DANS LE CHAPITRE 85</v>
      </c>
      <c r="C5390">
        <v>4542754</v>
      </c>
      <c r="D5390">
        <v>788</v>
      </c>
    </row>
    <row r="5391" spans="1:4" x14ac:dyDescent="0.25">
      <c r="A5391" t="str">
        <f>T("   854390")</f>
        <v xml:space="preserve">   854390</v>
      </c>
      <c r="B5391" t="str">
        <f>T("   PARTIES DE MACHINES ET APPAREILS ÉLECTRIQUES AYANT UNE FONCTION PROPRE, N.D.A. DANS LE CHAPITRE 85")</f>
        <v xml:space="preserve">   PARTIES DE MACHINES ET APPAREILS ÉLECTRIQUES AYANT UNE FONCTION PROPRE, N.D.A. DANS LE CHAPITRE 85</v>
      </c>
      <c r="C5391">
        <v>202074</v>
      </c>
      <c r="D5391">
        <v>2</v>
      </c>
    </row>
    <row r="5392" spans="1:4" x14ac:dyDescent="0.25">
      <c r="A5392" t="str">
        <f>T("   854411")</f>
        <v xml:space="preserve">   854411</v>
      </c>
      <c r="B5392" t="str">
        <f>T("   Fils pour bobinages pour l'électricité, en cuivre, isolés")</f>
        <v xml:space="preserve">   Fils pour bobinages pour l'électricité, en cuivre, isolés</v>
      </c>
      <c r="C5392">
        <v>17474794</v>
      </c>
      <c r="D5392">
        <v>4332</v>
      </c>
    </row>
    <row r="5393" spans="1:4" x14ac:dyDescent="0.25">
      <c r="A5393" t="str">
        <f>T("   854419")</f>
        <v xml:space="preserve">   854419</v>
      </c>
      <c r="B5393" t="str">
        <f>T("   Fils pour bobinages pour l'électricité, autres qu'en cuivre, isolés")</f>
        <v xml:space="preserve">   Fils pour bobinages pour l'électricité, autres qu'en cuivre, isolés</v>
      </c>
      <c r="C5393">
        <v>1376727</v>
      </c>
      <c r="D5393">
        <v>2692</v>
      </c>
    </row>
    <row r="5394" spans="1:4" x14ac:dyDescent="0.25">
      <c r="A5394" t="str">
        <f>T("   854420")</f>
        <v xml:space="preserve">   854420</v>
      </c>
      <c r="B5394" t="str">
        <f>T("   Câbles coaxiaux et autres conducteurs électriques coaxiaux, isolés")</f>
        <v xml:space="preserve">   Câbles coaxiaux et autres conducteurs électriques coaxiaux, isolés</v>
      </c>
      <c r="C5394">
        <v>36159873</v>
      </c>
      <c r="D5394">
        <v>17918.5</v>
      </c>
    </row>
    <row r="5395" spans="1:4" x14ac:dyDescent="0.25">
      <c r="A5395" t="str">
        <f>T("   854441")</f>
        <v xml:space="preserve">   854441</v>
      </c>
      <c r="B5395" t="str">
        <f>T("   Conducteurs électriques, pour tension &lt;= 80 V, isolés, avec pièces de connexion, n.d.a.")</f>
        <v xml:space="preserve">   Conducteurs électriques, pour tension &lt;= 80 V, isolés, avec pièces de connexion, n.d.a.</v>
      </c>
      <c r="C5395">
        <v>11291029</v>
      </c>
      <c r="D5395">
        <v>6095</v>
      </c>
    </row>
    <row r="5396" spans="1:4" x14ac:dyDescent="0.25">
      <c r="A5396" t="str">
        <f>T("   854449")</f>
        <v xml:space="preserve">   854449</v>
      </c>
      <c r="B5396" t="str">
        <f>T("   CONDUCTEURS ÉLECTRIQUES, POUR TENSION &lt;= 1.000 V, ISOLÉS, SANS PIÈCES DE CONNEXION, N.D.A.")</f>
        <v xml:space="preserve">   CONDUCTEURS ÉLECTRIQUES, POUR TENSION &lt;= 1.000 V, ISOLÉS, SANS PIÈCES DE CONNEXION, N.D.A.</v>
      </c>
      <c r="C5396">
        <v>201416423</v>
      </c>
      <c r="D5396">
        <v>91802</v>
      </c>
    </row>
    <row r="5397" spans="1:4" x14ac:dyDescent="0.25">
      <c r="A5397" t="str">
        <f>T("   854451")</f>
        <v xml:space="preserve">   854451</v>
      </c>
      <c r="B5397" t="str">
        <f>T("   Conducteurs électriques, pour tension &gt; 80 V mais &lt;= 1.000 V, avec pièces de connexion, n.d.a.")</f>
        <v xml:space="preserve">   Conducteurs électriques, pour tension &gt; 80 V mais &lt;= 1.000 V, avec pièces de connexion, n.d.a.</v>
      </c>
      <c r="C5397">
        <v>39646446</v>
      </c>
      <c r="D5397">
        <v>11480</v>
      </c>
    </row>
    <row r="5398" spans="1:4" x14ac:dyDescent="0.25">
      <c r="A5398" t="str">
        <f>T("   854459")</f>
        <v xml:space="preserve">   854459</v>
      </c>
      <c r="B5398" t="str">
        <f>T("   Conducteurs électriques, pour tension &gt; 80 V mais &lt;= 1.000 V, sans pièces de connexion, n.d.a.")</f>
        <v xml:space="preserve">   Conducteurs électriques, pour tension &gt; 80 V mais &lt;= 1.000 V, sans pièces de connexion, n.d.a.</v>
      </c>
      <c r="C5398">
        <v>74787310</v>
      </c>
      <c r="D5398">
        <v>23239</v>
      </c>
    </row>
    <row r="5399" spans="1:4" x14ac:dyDescent="0.25">
      <c r="A5399" t="str">
        <f>T("   854460")</f>
        <v xml:space="preserve">   854460</v>
      </c>
      <c r="B5399" t="str">
        <f>T("   Conducteurs électriques, pour tension &gt; 1.000 V, n.d.a.")</f>
        <v xml:space="preserve">   Conducteurs électriques, pour tension &gt; 1.000 V, n.d.a.</v>
      </c>
      <c r="C5399">
        <v>21010642</v>
      </c>
      <c r="D5399">
        <v>3915</v>
      </c>
    </row>
    <row r="5400" spans="1:4" x14ac:dyDescent="0.25">
      <c r="A5400" t="str">
        <f>T("   854470")</f>
        <v xml:space="preserve">   854470</v>
      </c>
      <c r="B5400" t="str">
        <f>T("   Câbles de fibres optiques constitués de fibres optiques gainées individuellement, comportant également des conducteurs électriques ou munis de pièces de connexion")</f>
        <v xml:space="preserve">   Câbles de fibres optiques constitués de fibres optiques gainées individuellement, comportant également des conducteurs électriques ou munis de pièces de connexion</v>
      </c>
      <c r="C5400">
        <v>16196406</v>
      </c>
      <c r="D5400">
        <v>3523</v>
      </c>
    </row>
    <row r="5401" spans="1:4" x14ac:dyDescent="0.25">
      <c r="A5401" t="str">
        <f>T("   854520")</f>
        <v xml:space="preserve">   854520</v>
      </c>
      <c r="B5401" t="str">
        <f>T("   Balais en charbon, pour usages électriques")</f>
        <v xml:space="preserve">   Balais en charbon, pour usages électriques</v>
      </c>
      <c r="C5401">
        <v>11673125</v>
      </c>
      <c r="D5401">
        <v>224</v>
      </c>
    </row>
    <row r="5402" spans="1:4" x14ac:dyDescent="0.25">
      <c r="A5402" t="str">
        <f>T("   854690")</f>
        <v xml:space="preserve">   854690</v>
      </c>
      <c r="B5402" t="str">
        <f>T("   Isolateurs pour usages électriques (sauf en verre ou en céramique et sauf pièces isolantes)")</f>
        <v xml:space="preserve">   Isolateurs pour usages électriques (sauf en verre ou en céramique et sauf pièces isolantes)</v>
      </c>
      <c r="C5402">
        <v>269263558</v>
      </c>
      <c r="D5402">
        <v>73979</v>
      </c>
    </row>
    <row r="5403" spans="1:4" x14ac:dyDescent="0.25">
      <c r="A5403" t="str">
        <f>T("   854790")</f>
        <v xml:space="preserve">   854790</v>
      </c>
      <c r="B5403" t="str">
        <f>T("   Pièces isolantes, pour usages électriques (autres qu'en céramique ou en matières plastiques, et que tubes isolateurs et leurs pièces de raccordement, en métaux communs, isolés intérieurement)")</f>
        <v xml:space="preserve">   Pièces isolantes, pour usages électriques (autres qu'en céramique ou en matières plastiques, et que tubes isolateurs et leurs pièces de raccordement, en métaux communs, isolés intérieurement)</v>
      </c>
      <c r="C5403">
        <v>638004</v>
      </c>
      <c r="D5403">
        <v>4</v>
      </c>
    </row>
    <row r="5404" spans="1:4" x14ac:dyDescent="0.25">
      <c r="A5404" t="str">
        <f>T("   854890")</f>
        <v xml:space="preserve">   854890</v>
      </c>
      <c r="B5404" t="str">
        <f>T("   PARTIES ÉLECTRIQUES DE MACHINES OU D'APPAREILS, N.D.A. DANS LE CHAPITRE 85")</f>
        <v xml:space="preserve">   PARTIES ÉLECTRIQUES DE MACHINES OU D'APPAREILS, N.D.A. DANS LE CHAPITRE 85</v>
      </c>
      <c r="C5404">
        <v>2255183</v>
      </c>
      <c r="D5404">
        <v>109</v>
      </c>
    </row>
    <row r="5405" spans="1:4" x14ac:dyDescent="0.25">
      <c r="A5405" t="str">
        <f>T("   860692")</f>
        <v xml:space="preserve">   860692</v>
      </c>
      <c r="B5405" t="str">
        <f>T("   Wagons, pour le transport sur rail de marchandises, ouverts, à parois non amovibles d'une hauteur &gt; 60 cm (à l'excl. des wagons à déchargement automatique)")</f>
        <v xml:space="preserve">   Wagons, pour le transport sur rail de marchandises, ouverts, à parois non amovibles d'une hauteur &gt; 60 cm (à l'excl. des wagons à déchargement automatique)</v>
      </c>
      <c r="C5405">
        <v>55100640</v>
      </c>
      <c r="D5405">
        <v>56000</v>
      </c>
    </row>
    <row r="5406" spans="1:4" x14ac:dyDescent="0.25">
      <c r="A5406" t="str">
        <f>T("   860900")</f>
        <v xml:space="preserve">   860900</v>
      </c>
      <c r="B5406" t="str">
        <f>T("   CADRES ET CONTENEURS -Y.C. LES CONTENEURS-CITERNES ET LES CONTENEURS-RÉSERVOIRS- SPÉCIALEMENT CONÇUS ET ÉQUIPÉS POUR UN OU PLUSIEURS MODES DE TRANSPORT")</f>
        <v xml:space="preserve">   CADRES ET CONTENEURS -Y.C. LES CONTENEURS-CITERNES ET LES CONTENEURS-RÉSERVOIRS- SPÉCIALEMENT CONÇUS ET ÉQUIPÉS POUR UN OU PLUSIEURS MODES DE TRANSPORT</v>
      </c>
      <c r="C5406">
        <v>12214631</v>
      </c>
      <c r="D5406">
        <v>5887</v>
      </c>
    </row>
    <row r="5407" spans="1:4" x14ac:dyDescent="0.25">
      <c r="A5407" t="str">
        <f>T("   870110")</f>
        <v xml:space="preserve">   870110</v>
      </c>
      <c r="B5407" t="str">
        <f>T("   Motoculteurs et tracteurs de construction similaire pour l'industrie (sauf tracteurs pour véhicules automobiles articulés)")</f>
        <v xml:space="preserve">   Motoculteurs et tracteurs de construction similaire pour l'industrie (sauf tracteurs pour véhicules automobiles articulés)</v>
      </c>
      <c r="C5407">
        <v>139975</v>
      </c>
      <c r="D5407">
        <v>520</v>
      </c>
    </row>
    <row r="5408" spans="1:4" x14ac:dyDescent="0.25">
      <c r="A5408" t="str">
        <f>T("   870120")</f>
        <v xml:space="preserve">   870120</v>
      </c>
      <c r="B5408" t="str">
        <f>T("   Tracteurs routiers pour semi-remorques")</f>
        <v xml:space="preserve">   Tracteurs routiers pour semi-remorques</v>
      </c>
      <c r="C5408">
        <v>960857060</v>
      </c>
      <c r="D5408">
        <v>2963435</v>
      </c>
    </row>
    <row r="5409" spans="1:4" x14ac:dyDescent="0.25">
      <c r="A5409" t="str">
        <f>T("   870190")</f>
        <v xml:space="preserve">   870190</v>
      </c>
      <c r="B5409" t="str">
        <f>T("   Tracteurs (à l'excl. des chariots-tracteurs du n° 8709, ainsi que des motoculteurs, tracteurs routiers pour semi-remorques et tracteurs à chenilles)")</f>
        <v xml:space="preserve">   Tracteurs (à l'excl. des chariots-tracteurs du n° 8709, ainsi que des motoculteurs, tracteurs routiers pour semi-remorques et tracteurs à chenilles)</v>
      </c>
      <c r="C5409">
        <v>129667506</v>
      </c>
      <c r="D5409">
        <v>85133</v>
      </c>
    </row>
    <row r="5410" spans="1:4" x14ac:dyDescent="0.25">
      <c r="A5410" t="str">
        <f>T("   870210")</f>
        <v xml:space="preserve">   870210</v>
      </c>
      <c r="B5410" t="s">
        <v>472</v>
      </c>
      <c r="C5410">
        <v>320258738</v>
      </c>
      <c r="D5410">
        <v>174617</v>
      </c>
    </row>
    <row r="5411" spans="1:4" x14ac:dyDescent="0.25">
      <c r="A5411" t="str">
        <f>T("   870290")</f>
        <v xml:space="preserve">   870290</v>
      </c>
      <c r="B5411" t="s">
        <v>473</v>
      </c>
      <c r="C5411">
        <v>113772510</v>
      </c>
      <c r="D5411">
        <v>121323</v>
      </c>
    </row>
    <row r="5412" spans="1:4" x14ac:dyDescent="0.25">
      <c r="A5412" t="str">
        <f>T("   870322")</f>
        <v xml:space="preserve">   870322</v>
      </c>
      <c r="B5412" t="s">
        <v>475</v>
      </c>
      <c r="C5412">
        <v>1321697483</v>
      </c>
      <c r="D5412">
        <v>761740</v>
      </c>
    </row>
    <row r="5413" spans="1:4" x14ac:dyDescent="0.25">
      <c r="A5413" t="str">
        <f>T("   870323")</f>
        <v xml:space="preserve">   870323</v>
      </c>
      <c r="B5413" t="s">
        <v>476</v>
      </c>
      <c r="C5413">
        <v>1061350253</v>
      </c>
      <c r="D5413">
        <v>215225</v>
      </c>
    </row>
    <row r="5414" spans="1:4" x14ac:dyDescent="0.25">
      <c r="A5414" t="str">
        <f>T("   870324")</f>
        <v xml:space="preserve">   870324</v>
      </c>
      <c r="B5414" t="s">
        <v>477</v>
      </c>
      <c r="C5414">
        <v>62448071</v>
      </c>
      <c r="D5414">
        <v>5980</v>
      </c>
    </row>
    <row r="5415" spans="1:4" x14ac:dyDescent="0.25">
      <c r="A5415" t="str">
        <f>T("   870331")</f>
        <v xml:space="preserve">   870331</v>
      </c>
      <c r="B5415" t="s">
        <v>478</v>
      </c>
      <c r="C5415">
        <v>20026052</v>
      </c>
      <c r="D5415">
        <v>3240</v>
      </c>
    </row>
    <row r="5416" spans="1:4" x14ac:dyDescent="0.25">
      <c r="A5416" t="str">
        <f>T("   870332")</f>
        <v xml:space="preserve">   870332</v>
      </c>
      <c r="B5416" t="s">
        <v>479</v>
      </c>
      <c r="C5416">
        <v>185496281</v>
      </c>
      <c r="D5416">
        <v>25168</v>
      </c>
    </row>
    <row r="5417" spans="1:4" x14ac:dyDescent="0.25">
      <c r="A5417" t="str">
        <f>T("   870333")</f>
        <v xml:space="preserve">   870333</v>
      </c>
      <c r="B5417" t="s">
        <v>480</v>
      </c>
      <c r="C5417">
        <v>427516865</v>
      </c>
      <c r="D5417">
        <v>57615</v>
      </c>
    </row>
    <row r="5418" spans="1:4" x14ac:dyDescent="0.25">
      <c r="A5418" t="str">
        <f>T("   870410")</f>
        <v xml:space="preserve">   870410</v>
      </c>
      <c r="B5418" t="str">
        <f>T("   Tombereaux automoteurs utilisés en dehors du réseau routier")</f>
        <v xml:space="preserve">   Tombereaux automoteurs utilisés en dehors du réseau routier</v>
      </c>
      <c r="C5418">
        <v>759838876</v>
      </c>
      <c r="D5418">
        <v>133810</v>
      </c>
    </row>
    <row r="5419" spans="1:4" x14ac:dyDescent="0.25">
      <c r="A5419" t="str">
        <f>T("   870421")</f>
        <v xml:space="preserve">   870421</v>
      </c>
      <c r="B5419" t="s">
        <v>481</v>
      </c>
      <c r="C5419">
        <v>1170242810</v>
      </c>
      <c r="D5419">
        <v>830871</v>
      </c>
    </row>
    <row r="5420" spans="1:4" x14ac:dyDescent="0.25">
      <c r="A5420" t="str">
        <f>T("   870422")</f>
        <v xml:space="preserve">   870422</v>
      </c>
      <c r="B5420" t="s">
        <v>482</v>
      </c>
      <c r="C5420">
        <v>725079603</v>
      </c>
      <c r="D5420">
        <v>2139867</v>
      </c>
    </row>
    <row r="5421" spans="1:4" x14ac:dyDescent="0.25">
      <c r="A5421" t="str">
        <f>T("   870423")</f>
        <v xml:space="preserve">   870423</v>
      </c>
      <c r="B5421" t="s">
        <v>483</v>
      </c>
      <c r="C5421">
        <v>11036171</v>
      </c>
      <c r="D5421">
        <v>40000</v>
      </c>
    </row>
    <row r="5422" spans="1:4" x14ac:dyDescent="0.25">
      <c r="A5422" t="str">
        <f>T("   870431")</f>
        <v xml:space="preserve">   870431</v>
      </c>
      <c r="B5422" t="s">
        <v>484</v>
      </c>
      <c r="C5422">
        <v>96942723</v>
      </c>
      <c r="D5422">
        <v>139563</v>
      </c>
    </row>
    <row r="5423" spans="1:4" x14ac:dyDescent="0.25">
      <c r="A5423" t="str">
        <f>T("   870432")</f>
        <v xml:space="preserve">   870432</v>
      </c>
      <c r="B5423" t="s">
        <v>485</v>
      </c>
      <c r="C5423">
        <v>4377446</v>
      </c>
      <c r="D5423">
        <v>13970</v>
      </c>
    </row>
    <row r="5424" spans="1:4" x14ac:dyDescent="0.25">
      <c r="A5424" t="str">
        <f>T("   870490")</f>
        <v xml:space="preserve">   870490</v>
      </c>
      <c r="B5424" t="str">
        <f>T("   Véhicules automobiles pour le transport de marchandises à moteur autre qu'à piston à allumage par étincelles ou moteur diesel ou semi-diesel (sauf tombereaux automoteurs du n° 8704.10, véhicules automobiles à usages spéciaux du n° 8705)")</f>
        <v xml:space="preserve">   Véhicules automobiles pour le transport de marchandises à moteur autre qu'à piston à allumage par étincelles ou moteur diesel ou semi-diesel (sauf tombereaux automoteurs du n° 8704.10, véhicules automobiles à usages spéciaux du n° 8705)</v>
      </c>
      <c r="C5424">
        <v>3600000</v>
      </c>
      <c r="D5424">
        <v>4240</v>
      </c>
    </row>
    <row r="5425" spans="1:4" x14ac:dyDescent="0.25">
      <c r="A5425" t="str">
        <f>T("   870510")</f>
        <v xml:space="preserve">   870510</v>
      </c>
      <c r="B5425" t="str">
        <f>T("   Camions-grues (sauf dépanneuses)")</f>
        <v xml:space="preserve">   Camions-grues (sauf dépanneuses)</v>
      </c>
      <c r="C5425">
        <v>13243897</v>
      </c>
      <c r="D5425">
        <v>23525</v>
      </c>
    </row>
    <row r="5426" spans="1:4" x14ac:dyDescent="0.25">
      <c r="A5426" t="str">
        <f>T("   870540")</f>
        <v xml:space="preserve">   870540</v>
      </c>
      <c r="B5426" t="str">
        <f>T("   Camions-bétonnières")</f>
        <v xml:space="preserve">   Camions-bétonnières</v>
      </c>
      <c r="C5426">
        <v>2017756</v>
      </c>
      <c r="D5426">
        <v>14100</v>
      </c>
    </row>
    <row r="5427" spans="1:4" x14ac:dyDescent="0.25">
      <c r="A5427" t="str">
        <f>T("   870590")</f>
        <v xml:space="preserve">   870590</v>
      </c>
      <c r="B5427" t="s">
        <v>486</v>
      </c>
      <c r="C5427">
        <v>163990000</v>
      </c>
      <c r="D5427">
        <v>15400</v>
      </c>
    </row>
    <row r="5428" spans="1:4" x14ac:dyDescent="0.25">
      <c r="A5428" t="str">
        <f>T("   870710")</f>
        <v xml:space="preserve">   870710</v>
      </c>
      <c r="B5428" t="str">
        <f>T("   Carrosseries pour voitures de tourisme")</f>
        <v xml:space="preserve">   Carrosseries pour voitures de tourisme</v>
      </c>
      <c r="C5428">
        <v>720245</v>
      </c>
      <c r="D5428">
        <v>950</v>
      </c>
    </row>
    <row r="5429" spans="1:4" x14ac:dyDescent="0.25">
      <c r="A5429" t="str">
        <f>T("   870810")</f>
        <v xml:space="preserve">   870810</v>
      </c>
      <c r="B5429" t="str">
        <f>T("   PARE-CHOCS ET LEURS PARTIES DE TRACTEURS, VÉHICULES POUR LE TRANSPORT DE &gt;= 10 PERSONNES, CHAUFFEUR INCLUS, VOITURES DE TOURISME, VÉHICULES POUR LE TRANSPORT DE MARCHANDISES ET VÉHICULES À USAGES SPÉCIAUX DU N° 8701 À 8705, N.D.A")</f>
        <v xml:space="preserve">   PARE-CHOCS ET LEURS PARTIES DE TRACTEURS, VÉHICULES POUR LE TRANSPORT DE &gt;= 10 PERSONNES, CHAUFFEUR INCLUS, VOITURES DE TOURISME, VÉHICULES POUR LE TRANSPORT DE MARCHANDISES ET VÉHICULES À USAGES SPÉCIAUX DU N° 8701 À 8705, N.D.A</v>
      </c>
      <c r="C5429">
        <v>459179</v>
      </c>
      <c r="D5429">
        <v>5410</v>
      </c>
    </row>
    <row r="5430" spans="1:4" x14ac:dyDescent="0.25">
      <c r="A5430" t="str">
        <f>T("   870821")</f>
        <v xml:space="preserve">   870821</v>
      </c>
      <c r="B5430" t="str">
        <f>T("   Ceintures de sécurité pour véhicules")</f>
        <v xml:space="preserve">   Ceintures de sécurité pour véhicules</v>
      </c>
      <c r="C5430">
        <v>4942224</v>
      </c>
      <c r="D5430">
        <v>94</v>
      </c>
    </row>
    <row r="5431" spans="1:4" x14ac:dyDescent="0.25">
      <c r="A5431" t="str">
        <f>T("   870829")</f>
        <v xml:space="preserve">   870829</v>
      </c>
      <c r="B5431" t="s">
        <v>488</v>
      </c>
      <c r="C5431">
        <v>29928997</v>
      </c>
      <c r="D5431">
        <v>5295</v>
      </c>
    </row>
    <row r="5432" spans="1:4" x14ac:dyDescent="0.25">
      <c r="A5432" t="str">
        <f>T("   870839")</f>
        <v xml:space="preserve">   870839</v>
      </c>
      <c r="B5432" t="str">
        <f>T("   FREINS ET SERVO-FREINS, ET LEURS PARTIES, POUR DE TRACTEURS, VÉHICULES POUR LE TRANSPORT DE &gt;= 10 PERSONNES, CHAUFFEUR INCLUS, VOITURES DE TOURISME, VÉHICULES POUR LE TRANSPORT DE MARCHANDISES ET VÉHICULES À USAGES SPÉCIAUX, N.D.A.")</f>
        <v xml:space="preserve">   FREINS ET SERVO-FREINS, ET LEURS PARTIES, POUR DE TRACTEURS, VÉHICULES POUR LE TRANSPORT DE &gt;= 10 PERSONNES, CHAUFFEUR INCLUS, VOITURES DE TOURISME, VÉHICULES POUR LE TRANSPORT DE MARCHANDISES ET VÉHICULES À USAGES SPÉCIAUX, N.D.A.</v>
      </c>
      <c r="C5432">
        <v>65101787</v>
      </c>
      <c r="D5432">
        <v>1416.09</v>
      </c>
    </row>
    <row r="5433" spans="1:4" x14ac:dyDescent="0.25">
      <c r="A5433" t="str">
        <f>T("   870850")</f>
        <v xml:space="preserve">   870850</v>
      </c>
      <c r="B5433" t="s">
        <v>489</v>
      </c>
      <c r="C5433">
        <v>400000</v>
      </c>
      <c r="D5433">
        <v>200</v>
      </c>
    </row>
    <row r="5434" spans="1:4" x14ac:dyDescent="0.25">
      <c r="A5434" t="str">
        <f>T("   870870")</f>
        <v xml:space="preserve">   870870</v>
      </c>
      <c r="B5434" t="str">
        <f>T("   ROUES, LEURS PARTIES ET ACCESSOIRES POUR TRACTEURS, VÉHICULES POUR LE TRANSPORT DE &gt;= 10 PERSONNES, CHAUFFEUR INCLUS, VOITURES DE TOURISME, VÉHICULES POUR LE TRANSPORT DE MARCHANDISES ET VÉHICULES À USAGES SPÉCIAUX, N.D.A.")</f>
        <v xml:space="preserve">   ROUES, LEURS PARTIES ET ACCESSOIRES POUR TRACTEURS, VÉHICULES POUR LE TRANSPORT DE &gt;= 10 PERSONNES, CHAUFFEUR INCLUS, VOITURES DE TOURISME, VÉHICULES POUR LE TRANSPORT DE MARCHANDISES ET VÉHICULES À USAGES SPÉCIAUX, N.D.A.</v>
      </c>
      <c r="C5434">
        <v>8946042</v>
      </c>
      <c r="D5434">
        <v>1995</v>
      </c>
    </row>
    <row r="5435" spans="1:4" x14ac:dyDescent="0.25">
      <c r="A5435" t="str">
        <f>T("   870880")</f>
        <v xml:space="preserve">   870880</v>
      </c>
      <c r="B5435" t="s">
        <v>490</v>
      </c>
      <c r="C5435">
        <v>12520217</v>
      </c>
      <c r="D5435">
        <v>400</v>
      </c>
    </row>
    <row r="5436" spans="1:4" x14ac:dyDescent="0.25">
      <c r="A5436" t="str">
        <f>T("   870891")</f>
        <v xml:space="preserve">   870891</v>
      </c>
      <c r="B5436" t="str">
        <f>T("   RADIATEURS ET LEURS PARTIES, POUR TRACTEURS, VÉHICULES POUR LE TRANSPORT DE &gt;= 10 PERSONNES, CHAUFFEUR INCLUS, VOITURES DE TOURISME, VÉHICULES POUR LE TRANSPORT DE MARCHANDISES ET VÉHICULES À USAGES SPÉCIAUX, N.D.A.")</f>
        <v xml:space="preserve">   RADIATEURS ET LEURS PARTIES, POUR TRACTEURS, VÉHICULES POUR LE TRANSPORT DE &gt;= 10 PERSONNES, CHAUFFEUR INCLUS, VOITURES DE TOURISME, VÉHICULES POUR LE TRANSPORT DE MARCHANDISES ET VÉHICULES À USAGES SPÉCIAUX, N.D.A.</v>
      </c>
      <c r="C5436">
        <v>1809000</v>
      </c>
      <c r="D5436">
        <v>223</v>
      </c>
    </row>
    <row r="5437" spans="1:4" x14ac:dyDescent="0.25">
      <c r="A5437" t="str">
        <f>T("   870893")</f>
        <v xml:space="preserve">   870893</v>
      </c>
      <c r="B5437" t="str">
        <f>T("   EMBRAYAGES ET LEURS PARTIES, POUR TRACTEURS, VÉHICULES POUR LE TRANSPORT DE &gt;= 10 PERSONNES, CHAUFFEUR INCLUS, VOITURES DE TOURISME, VÉHICULES POUR LE TRANSPORT DE MARCHANDISES ET VÉHICULES À USAGES SPÉCIAUX, N.D.A.")</f>
        <v xml:space="preserve">   EMBRAYAGES ET LEURS PARTIES, POUR TRACTEURS, VÉHICULES POUR LE TRANSPORT DE &gt;= 10 PERSONNES, CHAUFFEUR INCLUS, VOITURES DE TOURISME, VÉHICULES POUR LE TRANSPORT DE MARCHANDISES ET VÉHICULES À USAGES SPÉCIAUX, N.D.A.</v>
      </c>
      <c r="C5437">
        <v>19441685</v>
      </c>
      <c r="D5437">
        <v>992</v>
      </c>
    </row>
    <row r="5438" spans="1:4" x14ac:dyDescent="0.25">
      <c r="A5438" t="str">
        <f>T("   870894")</f>
        <v xml:space="preserve">   870894</v>
      </c>
      <c r="B5438" t="s">
        <v>491</v>
      </c>
      <c r="C5438">
        <v>1068500</v>
      </c>
      <c r="D5438">
        <v>51</v>
      </c>
    </row>
    <row r="5439" spans="1:4" x14ac:dyDescent="0.25">
      <c r="A5439" t="str">
        <f>T("   870899")</f>
        <v xml:space="preserve">   870899</v>
      </c>
      <c r="B5439"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5439">
        <v>568836225</v>
      </c>
      <c r="D5439">
        <v>120724.41</v>
      </c>
    </row>
    <row r="5440" spans="1:4" x14ac:dyDescent="0.25">
      <c r="A5440" t="str">
        <f>T("   870919")</f>
        <v xml:space="preserve">   870919</v>
      </c>
      <c r="B5440" t="str">
        <f>T("   CHARIOTS AUTOMOBILES NON-ÉLECTRIQUES, NON-MUNIS D'UN DISPOSITIF DE LEVAGE, DES TYPES UTILISÉS POUR LE TRANSPORT DES MARCHANDISES SUR DE COURTES DISTANCES, Y.C. LES CHARIOTS-TRACTEURS DES TYPES UTILISÉS DANS LES GARES")</f>
        <v xml:space="preserve">   CHARIOTS AUTOMOBILES NON-ÉLECTRIQUES, NON-MUNIS D'UN DISPOSITIF DE LEVAGE, DES TYPES UTILISÉS POUR LE TRANSPORT DES MARCHANDISES SUR DE COURTES DISTANCES, Y.C. LES CHARIOTS-TRACTEURS DES TYPES UTILISÉS DANS LES GARES</v>
      </c>
      <c r="C5440">
        <v>5516439</v>
      </c>
      <c r="D5440">
        <v>203</v>
      </c>
    </row>
    <row r="5441" spans="1:4" x14ac:dyDescent="0.25">
      <c r="A5441" t="str">
        <f>T("   871110")</f>
        <v xml:space="preserve">   871110</v>
      </c>
      <c r="B5441" t="str">
        <f>T("   Cyclomoteurs, à moteur à piston alternatif, cylindrée &lt;= 50 cm³, y.c. cycles à moteur auxiliaire")</f>
        <v xml:space="preserve">   Cyclomoteurs, à moteur à piston alternatif, cylindrée &lt;= 50 cm³, y.c. cycles à moteur auxiliaire</v>
      </c>
      <c r="C5441">
        <v>1824907</v>
      </c>
      <c r="D5441">
        <v>1420</v>
      </c>
    </row>
    <row r="5442" spans="1:4" x14ac:dyDescent="0.25">
      <c r="A5442" t="str">
        <f>T("   871120")</f>
        <v xml:space="preserve">   871120</v>
      </c>
      <c r="B5442" t="str">
        <f>T("   Motocycles à moteur à piston alternatif, cylindrée &gt; 50 cm³ mais &lt;= 250 cm³")</f>
        <v xml:space="preserve">   Motocycles à moteur à piston alternatif, cylindrée &gt; 50 cm³ mais &lt;= 250 cm³</v>
      </c>
      <c r="C5442">
        <v>320701287</v>
      </c>
      <c r="D5442">
        <v>60945</v>
      </c>
    </row>
    <row r="5443" spans="1:4" x14ac:dyDescent="0.25">
      <c r="A5443" t="str">
        <f>T("   871130")</f>
        <v xml:space="preserve">   871130</v>
      </c>
      <c r="B5443" t="str">
        <f>T("   Motocycles à moteur à piston alternatif, cylindrée &gt; 250 cm³ mais &lt;= 500 cm³")</f>
        <v xml:space="preserve">   Motocycles à moteur à piston alternatif, cylindrée &gt; 250 cm³ mais &lt;= 500 cm³</v>
      </c>
      <c r="C5443">
        <v>493938</v>
      </c>
      <c r="D5443">
        <v>490</v>
      </c>
    </row>
    <row r="5444" spans="1:4" x14ac:dyDescent="0.25">
      <c r="A5444" t="str">
        <f>T("   871140")</f>
        <v xml:space="preserve">   871140</v>
      </c>
      <c r="B5444" t="str">
        <f>T("   Motocycles à moteur à piston alternatif, cylindrée &gt; 500 cm³ mais &lt;= 800 cm³")</f>
        <v xml:space="preserve">   Motocycles à moteur à piston alternatif, cylindrée &gt; 500 cm³ mais &lt;= 800 cm³</v>
      </c>
      <c r="C5444">
        <v>205000</v>
      </c>
      <c r="D5444">
        <v>997</v>
      </c>
    </row>
    <row r="5445" spans="1:4" x14ac:dyDescent="0.25">
      <c r="A5445" t="str">
        <f>T("   871190")</f>
        <v xml:space="preserve">   871190</v>
      </c>
      <c r="B5445" t="str">
        <f>T("   Side-cars")</f>
        <v xml:space="preserve">   Side-cars</v>
      </c>
      <c r="C5445">
        <v>38715281</v>
      </c>
      <c r="D5445">
        <v>122573</v>
      </c>
    </row>
    <row r="5446" spans="1:4" x14ac:dyDescent="0.25">
      <c r="A5446" t="str">
        <f>T("   871200")</f>
        <v xml:space="preserve">   871200</v>
      </c>
      <c r="B5446" t="str">
        <f>T("   BICYCLETTES ET AUTRES CYCLES, -Y.C. LES TRIPORTEURS-, SANS MOTEUR")</f>
        <v xml:space="preserve">   BICYCLETTES ET AUTRES CYCLES, -Y.C. LES TRIPORTEURS-, SANS MOTEUR</v>
      </c>
      <c r="C5446">
        <v>5204910</v>
      </c>
      <c r="D5446">
        <v>11868</v>
      </c>
    </row>
    <row r="5447" spans="1:4" x14ac:dyDescent="0.25">
      <c r="A5447" t="str">
        <f>T("   871310")</f>
        <v xml:space="preserve">   871310</v>
      </c>
      <c r="B5447" t="str">
        <f>T("   Fauteuils roulants et autres véhicules pour invalides (sans mécanisme de propulsion)")</f>
        <v xml:space="preserve">   Fauteuils roulants et autres véhicules pour invalides (sans mécanisme de propulsion)</v>
      </c>
      <c r="C5447">
        <v>1288522</v>
      </c>
      <c r="D5447">
        <v>1594</v>
      </c>
    </row>
    <row r="5448" spans="1:4" x14ac:dyDescent="0.25">
      <c r="A5448" t="str">
        <f>T("   871390")</f>
        <v xml:space="preserve">   871390</v>
      </c>
      <c r="B5448" t="str">
        <f>T("   Fauteuils roulants et autres véhicules pour invalides, avec mécanisme de propulsion (sauf automobiles et bicyclettes munies de dispositifs spéciaux)")</f>
        <v xml:space="preserve">   Fauteuils roulants et autres véhicules pour invalides, avec mécanisme de propulsion (sauf automobiles et bicyclettes munies de dispositifs spéciaux)</v>
      </c>
      <c r="C5448">
        <v>464420</v>
      </c>
      <c r="D5448">
        <v>120</v>
      </c>
    </row>
    <row r="5449" spans="1:4" x14ac:dyDescent="0.25">
      <c r="A5449" t="str">
        <f>T("   871419")</f>
        <v xml:space="preserve">   871419</v>
      </c>
      <c r="B5449" t="str">
        <f>T("   Parties et accessoires de motocycles, y.c. de cyclomoteurs, n.d.a.")</f>
        <v xml:space="preserve">   Parties et accessoires de motocycles, y.c. de cyclomoteurs, n.d.a.</v>
      </c>
      <c r="C5449">
        <v>2786924</v>
      </c>
      <c r="D5449">
        <v>454</v>
      </c>
    </row>
    <row r="5450" spans="1:4" x14ac:dyDescent="0.25">
      <c r="A5450" t="str">
        <f>T("   871499")</f>
        <v xml:space="preserve">   871499</v>
      </c>
      <c r="B5450" t="str">
        <f>T("   Parties et accessoires, de bicyclettes, n.d.a.")</f>
        <v xml:space="preserve">   Parties et accessoires, de bicyclettes, n.d.a.</v>
      </c>
      <c r="C5450">
        <v>143203</v>
      </c>
      <c r="D5450">
        <v>7</v>
      </c>
    </row>
    <row r="5451" spans="1:4" x14ac:dyDescent="0.25">
      <c r="A5451" t="str">
        <f>T("   871620")</f>
        <v xml:space="preserve">   871620</v>
      </c>
      <c r="B5451" t="str">
        <f>T("   Remorques et semi-remorques autochargeuses ou autodéchargeuses, pour usages agricoles")</f>
        <v xml:space="preserve">   Remorques et semi-remorques autochargeuses ou autodéchargeuses, pour usages agricoles</v>
      </c>
      <c r="C5451">
        <v>50911398</v>
      </c>
      <c r="D5451">
        <v>231369</v>
      </c>
    </row>
    <row r="5452" spans="1:4" x14ac:dyDescent="0.25">
      <c r="A5452" t="str">
        <f>T("   871631")</f>
        <v xml:space="preserve">   871631</v>
      </c>
      <c r="B5452" t="str">
        <f>T("   Remorques-citernes ne circulant pas sur rails")</f>
        <v xml:space="preserve">   Remorques-citernes ne circulant pas sur rails</v>
      </c>
      <c r="C5452">
        <v>8400000</v>
      </c>
      <c r="D5452">
        <v>81940</v>
      </c>
    </row>
    <row r="5453" spans="1:4" x14ac:dyDescent="0.25">
      <c r="A5453" t="str">
        <f>T("   871640")</f>
        <v xml:space="preserve">   871640</v>
      </c>
      <c r="B5453" t="str">
        <f>T("   Remorques ne circulant pas sur rails (à l'excl. des remorques pour le transport de marchandises et remorques pour l'habitation ou le camping, du type caravane)")</f>
        <v xml:space="preserve">   Remorques ne circulant pas sur rails (à l'excl. des remorques pour le transport de marchandises et remorques pour l'habitation ou le camping, du type caravane)</v>
      </c>
      <c r="C5453">
        <v>619151653</v>
      </c>
      <c r="D5453">
        <v>1662915</v>
      </c>
    </row>
    <row r="5454" spans="1:4" x14ac:dyDescent="0.25">
      <c r="A5454" t="str">
        <f>T("   871680")</f>
        <v xml:space="preserve">   871680</v>
      </c>
      <c r="B5454" t="str">
        <f>T("   Véhicules dirigés à la main et autres véhicules non automobiles, autres que remorques et semi-remorques")</f>
        <v xml:space="preserve">   Véhicules dirigés à la main et autres véhicules non automobiles, autres que remorques et semi-remorques</v>
      </c>
      <c r="C5454">
        <v>4824700</v>
      </c>
      <c r="D5454">
        <v>5411</v>
      </c>
    </row>
    <row r="5455" spans="1:4" x14ac:dyDescent="0.25">
      <c r="A5455" t="str">
        <f>T("   871690")</f>
        <v xml:space="preserve">   871690</v>
      </c>
      <c r="B5455" t="str">
        <f>T("   PARTIES DE REMORQUES, SEMI-REMORQUES ET AUTRES VÉHICULES NON-AUTOMOBILES, N.D.A.")</f>
        <v xml:space="preserve">   PARTIES DE REMORQUES, SEMI-REMORQUES ET AUTRES VÉHICULES NON-AUTOMOBILES, N.D.A.</v>
      </c>
      <c r="C5455">
        <v>415918</v>
      </c>
      <c r="D5455">
        <v>9</v>
      </c>
    </row>
    <row r="5456" spans="1:4" x14ac:dyDescent="0.25">
      <c r="A5456" t="str">
        <f>T("   880190")</f>
        <v xml:space="preserve">   880190</v>
      </c>
      <c r="B5456" t="str">
        <f>T("   Ballons et dirigeables et autres véhicules aériens (non conçus pour la propulsion à moteur) (sauf planeurs et ailes volantes, cerf-volants pour enfants et ballonnets pour enfants)")</f>
        <v xml:space="preserve">   Ballons et dirigeables et autres véhicules aériens (non conçus pour la propulsion à moteur) (sauf planeurs et ailes volantes, cerf-volants pour enfants et ballonnets pour enfants)</v>
      </c>
      <c r="C5456">
        <v>4102050</v>
      </c>
      <c r="D5456">
        <v>884</v>
      </c>
    </row>
    <row r="5457" spans="1:4" x14ac:dyDescent="0.25">
      <c r="A5457" t="str">
        <f>T("   890399")</f>
        <v xml:space="preserve">   890399</v>
      </c>
      <c r="B5457" t="str">
        <f>T("   Bateaux, de plaisance ou de sport (sauf bateaux à moteur autre qu' à moteur hors-bord, bateaux à voile, même avec moteur auxiliaire, et bateaux gonflables); bateaux à rames et canoës")</f>
        <v xml:space="preserve">   Bateaux, de plaisance ou de sport (sauf bateaux à moteur autre qu' à moteur hors-bord, bateaux à voile, même avec moteur auxiliaire, et bateaux gonflables); bateaux à rames et canoës</v>
      </c>
      <c r="C5457">
        <v>26614796</v>
      </c>
      <c r="D5457">
        <v>10118</v>
      </c>
    </row>
    <row r="5458" spans="1:4" x14ac:dyDescent="0.25">
      <c r="A5458" t="str">
        <f>T("   890790")</f>
        <v xml:space="preserve">   890790</v>
      </c>
      <c r="B5458" t="str">
        <f>T("   Engins flottants, p.ex. réservoirs, caissons, coffres d'amarrage, bouées et balises (sauf radeaux gonflables, bateaux du n° 8901 à 8906 et engins flottants à dépecer)")</f>
        <v xml:space="preserve">   Engins flottants, p.ex. réservoirs, caissons, coffres d'amarrage, bouées et balises (sauf radeaux gonflables, bateaux du n° 8901 à 8906 et engins flottants à dépecer)</v>
      </c>
      <c r="C5458">
        <v>301086</v>
      </c>
      <c r="D5458">
        <v>50</v>
      </c>
    </row>
    <row r="5459" spans="1:4" x14ac:dyDescent="0.25">
      <c r="A5459" t="str">
        <f>T("   900190")</f>
        <v xml:space="preserve">   900190</v>
      </c>
      <c r="B5459" t="str">
        <f>T("   Lentilles, prismes, miroirs et autres éléments d'optique, en toutes matières, non montés (autres que ceux en verre non travaillé optiquement ainsi que les verres de contact et les verres de lunetterie)")</f>
        <v xml:space="preserve">   Lentilles, prismes, miroirs et autres éléments d'optique, en toutes matières, non montés (autres que ceux en verre non travaillé optiquement ainsi que les verres de contact et les verres de lunetterie)</v>
      </c>
      <c r="C5459">
        <v>2458539</v>
      </c>
      <c r="D5459">
        <v>1.95</v>
      </c>
    </row>
    <row r="5460" spans="1:4" x14ac:dyDescent="0.25">
      <c r="A5460" t="str">
        <f>T("   900219")</f>
        <v xml:space="preserve">   900219</v>
      </c>
      <c r="B5460" t="str">
        <f>T("   Objectifs (autres que pour appareils de prise de vues, pour projecteurs ou pour appareils photographiques ou cinématographiques d'agrandissement ou de réduction)")</f>
        <v xml:space="preserve">   Objectifs (autres que pour appareils de prise de vues, pour projecteurs ou pour appareils photographiques ou cinématographiques d'agrandissement ou de réduction)</v>
      </c>
      <c r="C5460">
        <v>2156141</v>
      </c>
      <c r="D5460">
        <v>12</v>
      </c>
    </row>
    <row r="5461" spans="1:4" x14ac:dyDescent="0.25">
      <c r="A5461" t="str">
        <f>T("   900290")</f>
        <v xml:space="preserve">   900290</v>
      </c>
      <c r="B5461" t="str">
        <f>T("   Lentilles, prismes, miroirs et autres éléments d'optique, en toutes matières, montés, pour instruments ou appareils (autres que ceux en verre non travaillé optiquement ainsi que les filtres et les objectifs)")</f>
        <v xml:space="preserve">   Lentilles, prismes, miroirs et autres éléments d'optique, en toutes matières, montés, pour instruments ou appareils (autres que ceux en verre non travaillé optiquement ainsi que les filtres et les objectifs)</v>
      </c>
      <c r="C5461">
        <v>27288</v>
      </c>
      <c r="D5461">
        <v>1</v>
      </c>
    </row>
    <row r="5462" spans="1:4" x14ac:dyDescent="0.25">
      <c r="A5462" t="str">
        <f>T("   900410")</f>
        <v xml:space="preserve">   900410</v>
      </c>
      <c r="B5462" t="str">
        <f>T("   Lunettes solaires")</f>
        <v xml:space="preserve">   Lunettes solaires</v>
      </c>
      <c r="C5462">
        <v>556932</v>
      </c>
      <c r="D5462">
        <v>140</v>
      </c>
    </row>
    <row r="5463" spans="1:4" x14ac:dyDescent="0.25">
      <c r="A5463" t="str">
        <f>T("   900490")</f>
        <v xml:space="preserve">   900490</v>
      </c>
      <c r="B5463" t="str">
        <f>T("   Lunettes correctrices, protectrices ou autres et articles simil. (à l'excl. des lunettes pour tests visuels, des lunettes solaires, des verres de contact, des verres de lunetterie et des montures de lunettes)")</f>
        <v xml:space="preserve">   Lunettes correctrices, protectrices ou autres et articles simil. (à l'excl. des lunettes pour tests visuels, des lunettes solaires, des verres de contact, des verres de lunetterie et des montures de lunettes)</v>
      </c>
      <c r="C5463">
        <v>5220307</v>
      </c>
      <c r="D5463">
        <v>1218.5</v>
      </c>
    </row>
    <row r="5464" spans="1:4" x14ac:dyDescent="0.25">
      <c r="A5464" t="str">
        <f>T("   900640")</f>
        <v xml:space="preserve">   900640</v>
      </c>
      <c r="B5464" t="str">
        <f>T("   Appareils photographiques à développement et tirage instantanés (à l'excl. des appareils photographiques pour usages spéciaux dus n° 9006.10, 9006.20 ou 9006.30)")</f>
        <v xml:space="preserve">   Appareils photographiques à développement et tirage instantanés (à l'excl. des appareils photographiques pour usages spéciaux dus n° 9006.10, 9006.20 ou 9006.30)</v>
      </c>
      <c r="C5464">
        <v>4198145</v>
      </c>
      <c r="D5464">
        <v>559</v>
      </c>
    </row>
    <row r="5465" spans="1:4" x14ac:dyDescent="0.25">
      <c r="A5465" t="str">
        <f>T("   900719")</f>
        <v xml:space="preserve">   900719</v>
      </c>
      <c r="B5465" t="str">
        <f>T("   Caméras cinématographiques, pour films d'une largeur &gt;= 16 mm (à l'excl. des films double-8 mm)")</f>
        <v xml:space="preserve">   Caméras cinématographiques, pour films d'une largeur &gt;= 16 mm (à l'excl. des films double-8 mm)</v>
      </c>
      <c r="C5465">
        <v>9669890</v>
      </c>
      <c r="D5465">
        <v>156</v>
      </c>
    </row>
    <row r="5466" spans="1:4" x14ac:dyDescent="0.25">
      <c r="A5466" t="str">
        <f>T("   900720")</f>
        <v xml:space="preserve">   900720</v>
      </c>
      <c r="B5466" t="str">
        <f>T("   Projecteurs cinématographiques")</f>
        <v xml:space="preserve">   Projecteurs cinématographiques</v>
      </c>
      <c r="C5466">
        <v>542009</v>
      </c>
      <c r="D5466">
        <v>18</v>
      </c>
    </row>
    <row r="5467" spans="1:4" x14ac:dyDescent="0.25">
      <c r="A5467" t="str">
        <f>T("   900830")</f>
        <v xml:space="preserve">   900830</v>
      </c>
      <c r="B5467" t="str">
        <f>T("   Projecteurs d'images fixes (à l'excl. des projecteurs de diapositives et des lecteurs de microfilms, de microfiches ou d'autres microformats)")</f>
        <v xml:space="preserve">   Projecteurs d'images fixes (à l'excl. des projecteurs de diapositives et des lecteurs de microfilms, de microfiches ou d'autres microformats)</v>
      </c>
      <c r="C5467">
        <v>1946045</v>
      </c>
      <c r="D5467">
        <v>30</v>
      </c>
    </row>
    <row r="5468" spans="1:4" x14ac:dyDescent="0.25">
      <c r="A5468" t="str">
        <f>T("   900911")</f>
        <v xml:space="preserve">   900911</v>
      </c>
      <c r="B5468" t="str">
        <f>T("   Appareils de photocopie électrostatiques, fonctionnant par reproduction directe de l'image de l'original sur la copie [procédé direct]")</f>
        <v xml:space="preserve">   Appareils de photocopie électrostatiques, fonctionnant par reproduction directe de l'image de l'original sur la copie [procédé direct]</v>
      </c>
      <c r="C5468">
        <v>7229784</v>
      </c>
      <c r="D5468">
        <v>1678</v>
      </c>
    </row>
    <row r="5469" spans="1:4" x14ac:dyDescent="0.25">
      <c r="A5469" t="str">
        <f>T("   900912")</f>
        <v xml:space="preserve">   900912</v>
      </c>
      <c r="B5469" t="str">
        <f>T("   Appareils de photocopie électrostatiques, fonctionnant par reproduction de l'image de l'original sur la copie au moyen d'un support intermédiaire [procédé indirect]")</f>
        <v xml:space="preserve">   Appareils de photocopie électrostatiques, fonctionnant par reproduction de l'image de l'original sur la copie au moyen d'un support intermédiaire [procédé indirect]</v>
      </c>
      <c r="C5469">
        <v>114793</v>
      </c>
      <c r="D5469">
        <v>50</v>
      </c>
    </row>
    <row r="5470" spans="1:4" x14ac:dyDescent="0.25">
      <c r="A5470" t="str">
        <f>T("   900921")</f>
        <v xml:space="preserve">   900921</v>
      </c>
      <c r="B5470" t="str">
        <f>T("   Appareils de photocopie à système optique (autres qu'électrostatiques)")</f>
        <v xml:space="preserve">   Appareils de photocopie à système optique (autres qu'électrostatiques)</v>
      </c>
      <c r="C5470">
        <v>59307307</v>
      </c>
      <c r="D5470">
        <v>10295</v>
      </c>
    </row>
    <row r="5471" spans="1:4" x14ac:dyDescent="0.25">
      <c r="A5471" t="str">
        <f>T("   900922")</f>
        <v xml:space="preserve">   900922</v>
      </c>
      <c r="B5471" t="str">
        <f>T("   APPAREILS DE PHOTOCOPIE PAR CONTACT")</f>
        <v xml:space="preserve">   APPAREILS DE PHOTOCOPIE PAR CONTACT</v>
      </c>
      <c r="C5471">
        <v>16678504</v>
      </c>
      <c r="D5471">
        <v>3779</v>
      </c>
    </row>
    <row r="5472" spans="1:4" x14ac:dyDescent="0.25">
      <c r="A5472" t="str">
        <f>T("   900930")</f>
        <v xml:space="preserve">   900930</v>
      </c>
      <c r="B5472" t="str">
        <f>T("   Appareils de thermocopie (à l'excl. des imprimantes thermiques)")</f>
        <v xml:space="preserve">   Appareils de thermocopie (à l'excl. des imprimantes thermiques)</v>
      </c>
      <c r="C5472">
        <v>100000</v>
      </c>
      <c r="D5472">
        <v>90</v>
      </c>
    </row>
    <row r="5473" spans="1:4" x14ac:dyDescent="0.25">
      <c r="A5473" t="str">
        <f>T("   900999")</f>
        <v xml:space="preserve">   900999</v>
      </c>
      <c r="B5473" t="str">
        <f>T("   Parties et accessoires d'appareils de photocopie et de thermocopie, n.d.a. (à l'excl. des dispositifs automatiques d'alimentation en documents, des dispositifs d'alimentation en papier et des dispositifs de tri)")</f>
        <v xml:space="preserve">   Parties et accessoires d'appareils de photocopie et de thermocopie, n.d.a. (à l'excl. des dispositifs automatiques d'alimentation en documents, des dispositifs d'alimentation en papier et des dispositifs de tri)</v>
      </c>
      <c r="C5473">
        <v>41157199</v>
      </c>
      <c r="D5473">
        <v>3216</v>
      </c>
    </row>
    <row r="5474" spans="1:4" x14ac:dyDescent="0.25">
      <c r="A5474" t="str">
        <f>T("   901010")</f>
        <v xml:space="preserve">   901010</v>
      </c>
      <c r="B5474" t="s">
        <v>494</v>
      </c>
      <c r="C5474">
        <v>109769</v>
      </c>
      <c r="D5474">
        <v>285</v>
      </c>
    </row>
    <row r="5475" spans="1:4" x14ac:dyDescent="0.25">
      <c r="A5475" t="str">
        <f>T("   901050")</f>
        <v xml:space="preserve">   901050</v>
      </c>
      <c r="B5475" t="str">
        <f>T("   Appareils et matériel pour laboratoires photographiques ou cinématographiques, n.d.a.; négatoscopes")</f>
        <v xml:space="preserve">   Appareils et matériel pour laboratoires photographiques ou cinématographiques, n.d.a.; négatoscopes</v>
      </c>
      <c r="C5475">
        <v>196143</v>
      </c>
      <c r="D5475">
        <v>500</v>
      </c>
    </row>
    <row r="5476" spans="1:4" x14ac:dyDescent="0.25">
      <c r="A5476" t="str">
        <f>T("   901060")</f>
        <v xml:space="preserve">   901060</v>
      </c>
      <c r="B5476" t="str">
        <f>T("   ECRANS POUR PROJECTIONS")</f>
        <v xml:space="preserve">   ECRANS POUR PROJECTIONS</v>
      </c>
      <c r="C5476">
        <v>347683</v>
      </c>
      <c r="D5476">
        <v>7</v>
      </c>
    </row>
    <row r="5477" spans="1:4" x14ac:dyDescent="0.25">
      <c r="A5477" t="str">
        <f>T("   901180")</f>
        <v xml:space="preserve">   901180</v>
      </c>
      <c r="B5477" t="s">
        <v>495</v>
      </c>
      <c r="C5477">
        <v>2922958</v>
      </c>
      <c r="D5477">
        <v>37</v>
      </c>
    </row>
    <row r="5478" spans="1:4" x14ac:dyDescent="0.25">
      <c r="A5478" t="str">
        <f>T("   901380")</f>
        <v xml:space="preserve">   901380</v>
      </c>
      <c r="B5478" t="str">
        <f>T("   DISPOSITIFS À CRISTAUX LIQUIDES, N.D.A., ET AUTRES APPAREILS ET INSTRUMENTS D'OPTIQUE, N.D.A. DANS LE PRÉSENT CHAPITRE")</f>
        <v xml:space="preserve">   DISPOSITIFS À CRISTAUX LIQUIDES, N.D.A., ET AUTRES APPAREILS ET INSTRUMENTS D'OPTIQUE, N.D.A. DANS LE PRÉSENT CHAPITRE</v>
      </c>
      <c r="C5478">
        <v>5989428</v>
      </c>
      <c r="D5478">
        <v>1129.5</v>
      </c>
    </row>
    <row r="5479" spans="1:4" x14ac:dyDescent="0.25">
      <c r="A5479" t="str">
        <f>T("   901490")</f>
        <v xml:space="preserve">   901490</v>
      </c>
      <c r="B5479" t="str">
        <f>T("   Parties et accessoires de boussoles et d'autres instruments et appareils de navigation, n.d.a.")</f>
        <v xml:space="preserve">   Parties et accessoires de boussoles et d'autres instruments et appareils de navigation, n.d.a.</v>
      </c>
      <c r="C5479">
        <v>2735164</v>
      </c>
      <c r="D5479">
        <v>21</v>
      </c>
    </row>
    <row r="5480" spans="1:4" x14ac:dyDescent="0.25">
      <c r="A5480" t="str">
        <f>T("   901580")</f>
        <v xml:space="preserve">   901580</v>
      </c>
      <c r="B5480" t="s">
        <v>496</v>
      </c>
      <c r="C5480">
        <v>100005207</v>
      </c>
      <c r="D5480">
        <v>948</v>
      </c>
    </row>
    <row r="5481" spans="1:4" x14ac:dyDescent="0.25">
      <c r="A5481" t="str">
        <f>T("   901590")</f>
        <v xml:space="preserve">   901590</v>
      </c>
      <c r="B5481" t="str">
        <f>T("   Parties et accessoires des instruments et appareils de géodésie, de topographie, d'arpentage, de nivellement, de photogrammétrie, d'hydrographie, d'océanographie, d'hydrologie, de météorologie ou de géophysique ainsi que des télémètres, n.d.a.")</f>
        <v xml:space="preserve">   Parties et accessoires des instruments et appareils de géodésie, de topographie, d'arpentage, de nivellement, de photogrammétrie, d'hydrographie, d'océanographie, d'hydrologie, de météorologie ou de géophysique ainsi que des télémètres, n.d.a.</v>
      </c>
      <c r="C5481">
        <v>11073035</v>
      </c>
      <c r="D5481">
        <v>661</v>
      </c>
    </row>
    <row r="5482" spans="1:4" x14ac:dyDescent="0.25">
      <c r="A5482" t="str">
        <f>T("   901600")</f>
        <v xml:space="preserve">   901600</v>
      </c>
      <c r="B5482" t="str">
        <f>T("   Balances sensibles à un poids de 5 cg ou moins, avec ou sans poids")</f>
        <v xml:space="preserve">   Balances sensibles à un poids de 5 cg ou moins, avec ou sans poids</v>
      </c>
      <c r="C5482">
        <v>1183929</v>
      </c>
      <c r="D5482">
        <v>461</v>
      </c>
    </row>
    <row r="5483" spans="1:4" x14ac:dyDescent="0.25">
      <c r="A5483" t="str">
        <f>T("   901720")</f>
        <v xml:space="preserve">   901720</v>
      </c>
      <c r="B5483" t="str">
        <f>T("   Instruments de dessin, de traçage et de calcul (sauf tables et machines à dessiner ainsi que calculatrices)")</f>
        <v xml:space="preserve">   Instruments de dessin, de traçage et de calcul (sauf tables et machines à dessiner ainsi que calculatrices)</v>
      </c>
      <c r="C5483">
        <v>8354955</v>
      </c>
      <c r="D5483">
        <v>5056.8</v>
      </c>
    </row>
    <row r="5484" spans="1:4" x14ac:dyDescent="0.25">
      <c r="A5484" t="str">
        <f>T("   901730")</f>
        <v xml:space="preserve">   901730</v>
      </c>
      <c r="B5484" t="str">
        <f>T("   Micromètres, pieds à coulisses, calibres et jauges")</f>
        <v xml:space="preserve">   Micromètres, pieds à coulisses, calibres et jauges</v>
      </c>
      <c r="C5484">
        <v>7348108</v>
      </c>
      <c r="D5484">
        <v>443</v>
      </c>
    </row>
    <row r="5485" spans="1:4" x14ac:dyDescent="0.25">
      <c r="A5485" t="str">
        <f>T("   901780")</f>
        <v xml:space="preserve">   901780</v>
      </c>
      <c r="B5485" t="str">
        <f>T("   Instruments de mesure de longueurs, pour emploi à la main, n.d.a.")</f>
        <v xml:space="preserve">   Instruments de mesure de longueurs, pour emploi à la main, n.d.a.</v>
      </c>
      <c r="C5485">
        <v>3889141</v>
      </c>
      <c r="D5485">
        <v>1730.2</v>
      </c>
    </row>
    <row r="5486" spans="1:4" x14ac:dyDescent="0.25">
      <c r="A5486" t="str">
        <f>T("   901811")</f>
        <v xml:space="preserve">   901811</v>
      </c>
      <c r="B5486" t="str">
        <f>T("   ÉLECTROCARDIOGRAPHES")</f>
        <v xml:space="preserve">   ÉLECTROCARDIOGRAPHES</v>
      </c>
      <c r="C5486">
        <v>34110</v>
      </c>
      <c r="D5486">
        <v>500</v>
      </c>
    </row>
    <row r="5487" spans="1:4" x14ac:dyDescent="0.25">
      <c r="A5487" t="str">
        <f>T("   901812")</f>
        <v xml:space="preserve">   901812</v>
      </c>
      <c r="B5487" t="str">
        <f>T("   Appareils de diagnostic par balayage ultrasonique [scanners]")</f>
        <v xml:space="preserve">   Appareils de diagnostic par balayage ultrasonique [scanners]</v>
      </c>
      <c r="C5487">
        <v>360000</v>
      </c>
      <c r="D5487">
        <v>45</v>
      </c>
    </row>
    <row r="5488" spans="1:4" x14ac:dyDescent="0.25">
      <c r="A5488" t="str">
        <f>T("   901819")</f>
        <v xml:space="preserve">   901819</v>
      </c>
      <c r="B5488" t="s">
        <v>497</v>
      </c>
      <c r="C5488">
        <v>34472225</v>
      </c>
      <c r="D5488">
        <v>3034</v>
      </c>
    </row>
    <row r="5489" spans="1:4" x14ac:dyDescent="0.25">
      <c r="A5489" t="str">
        <f>T("   901831")</f>
        <v xml:space="preserve">   901831</v>
      </c>
      <c r="B5489" t="str">
        <f>T("   Seringues, avec ou sans aiguilles, pour la médecine")</f>
        <v xml:space="preserve">   Seringues, avec ou sans aiguilles, pour la médecine</v>
      </c>
      <c r="C5489">
        <v>18379134</v>
      </c>
      <c r="D5489">
        <v>4142</v>
      </c>
    </row>
    <row r="5490" spans="1:4" x14ac:dyDescent="0.25">
      <c r="A5490" t="str">
        <f>T("   901832")</f>
        <v xml:space="preserve">   901832</v>
      </c>
      <c r="B5490" t="str">
        <f>T("   Aiguilles tubulaires en métal et aiguilles à sutures, pour la médecine")</f>
        <v xml:space="preserve">   Aiguilles tubulaires en métal et aiguilles à sutures, pour la médecine</v>
      </c>
      <c r="C5490">
        <v>7305531</v>
      </c>
      <c r="D5490">
        <v>1455</v>
      </c>
    </row>
    <row r="5491" spans="1:4" x14ac:dyDescent="0.25">
      <c r="A5491" t="str">
        <f>T("   901839")</f>
        <v xml:space="preserve">   901839</v>
      </c>
      <c r="B5491" t="str">
        <f>T("   AIGUILLES, CTHEÉTERS, CANULES ET SIMIL. POUR LA MÉDECINE (SAUF SERINGUES, AIGUILLES TUBULAIRES EN MÉTAL ET AIGUILLES À SUTURES)")</f>
        <v xml:space="preserve">   AIGUILLES, CTHEÉTERS, CANULES ET SIMIL. POUR LA MÉDECINE (SAUF SERINGUES, AIGUILLES TUBULAIRES EN MÉTAL ET AIGUILLES À SUTURES)</v>
      </c>
      <c r="C5491">
        <v>5356695</v>
      </c>
      <c r="D5491">
        <v>1731</v>
      </c>
    </row>
    <row r="5492" spans="1:4" x14ac:dyDescent="0.25">
      <c r="A5492" t="str">
        <f>T("   901849")</f>
        <v xml:space="preserve">   901849</v>
      </c>
      <c r="B5492" t="str">
        <f>T("   Instruments et appareils pour l'art dentaire, n.d.a.")</f>
        <v xml:space="preserve">   Instruments et appareils pour l'art dentaire, n.d.a.</v>
      </c>
      <c r="C5492">
        <v>500497</v>
      </c>
      <c r="D5492">
        <v>124</v>
      </c>
    </row>
    <row r="5493" spans="1:4" x14ac:dyDescent="0.25">
      <c r="A5493" t="str">
        <f>T("   901890")</f>
        <v xml:space="preserve">   901890</v>
      </c>
      <c r="B5493" t="str">
        <f>T("   Instruments et appareils pour la médecine, la chirurgie ou l'art vétérinaire, n.d.a.")</f>
        <v xml:space="preserve">   Instruments et appareils pour la médecine, la chirurgie ou l'art vétérinaire, n.d.a.</v>
      </c>
      <c r="C5493">
        <v>135385387</v>
      </c>
      <c r="D5493">
        <v>63351</v>
      </c>
    </row>
    <row r="5494" spans="1:4" x14ac:dyDescent="0.25">
      <c r="A5494" t="str">
        <f>T("   901920")</f>
        <v xml:space="preserve">   901920</v>
      </c>
      <c r="B5494" t="str">
        <f>T("   APPAREILS D'OZONOTHERAPIE, D'OXYGÉNOTHERAPIE, D'AÉROSOLTHERAPIE; APPAREILS RESPIRATOIRES DE RÉANIMATION ET AUTRES APPAREILS DE THERAPIE RESPIRATOIRE")</f>
        <v xml:space="preserve">   APPAREILS D'OZONOTHERAPIE, D'OXYGÉNOTHERAPIE, D'AÉROSOLTHERAPIE; APPAREILS RESPIRATOIRES DE RÉANIMATION ET AUTRES APPAREILS DE THERAPIE RESPIRATOIRE</v>
      </c>
      <c r="C5494">
        <v>3411463</v>
      </c>
      <c r="D5494">
        <v>46</v>
      </c>
    </row>
    <row r="5495" spans="1:4" x14ac:dyDescent="0.25">
      <c r="A5495" t="str">
        <f>T("   902000")</f>
        <v xml:space="preserve">   902000</v>
      </c>
      <c r="B5495" t="str">
        <f>T("   APPAREILS RESPIRATOIRES ET MASQUES À GAZ (À L'EXCL. DES MASQUES DE PROTECTION DÉPOURVUS DE MÉCANISME ET D'ÉLÉMENT FILTRANT AMOVIBLE AINSI QUE DES APPAREILS DE RESPIRATOIRES DE RÉANIMATION ET AUTRES APPAREILS DE THERAPIE RESPIRATOIRE)")</f>
        <v xml:space="preserve">   APPAREILS RESPIRATOIRES ET MASQUES À GAZ (À L'EXCL. DES MASQUES DE PROTECTION DÉPOURVUS DE MÉCANISME ET D'ÉLÉMENT FILTRANT AMOVIBLE AINSI QUE DES APPAREILS DE RESPIRATOIRES DE RÉANIMATION ET AUTRES APPAREILS DE THERAPIE RESPIRATOIRE)</v>
      </c>
      <c r="C5495">
        <v>22005201</v>
      </c>
      <c r="D5495">
        <v>1083</v>
      </c>
    </row>
    <row r="5496" spans="1:4" x14ac:dyDescent="0.25">
      <c r="A5496" t="str">
        <f>T("   902110")</f>
        <v xml:space="preserve">   902110</v>
      </c>
      <c r="B5496" t="str">
        <f>T("   Appareils d'orthopédie ou pour fractures")</f>
        <v xml:space="preserve">   Appareils d'orthopédie ou pour fractures</v>
      </c>
      <c r="C5496">
        <v>14479801</v>
      </c>
      <c r="D5496">
        <v>2763</v>
      </c>
    </row>
    <row r="5497" spans="1:4" x14ac:dyDescent="0.25">
      <c r="A5497" t="str">
        <f>T("   902129")</f>
        <v xml:space="preserve">   902129</v>
      </c>
      <c r="B5497" t="str">
        <f>T("   Articles et appareils de prothèse dentaire (sauf dents artificielles)")</f>
        <v xml:space="preserve">   Articles et appareils de prothèse dentaire (sauf dents artificielles)</v>
      </c>
      <c r="C5497">
        <v>98387</v>
      </c>
      <c r="D5497">
        <v>246</v>
      </c>
    </row>
    <row r="5498" spans="1:4" x14ac:dyDescent="0.25">
      <c r="A5498" t="str">
        <f>T("   902190")</f>
        <v xml:space="preserve">   902190</v>
      </c>
      <c r="B5498" t="s">
        <v>498</v>
      </c>
      <c r="C5498">
        <v>857996</v>
      </c>
      <c r="D5498">
        <v>746</v>
      </c>
    </row>
    <row r="5499" spans="1:4" x14ac:dyDescent="0.25">
      <c r="A5499" t="str">
        <f>T("   902214")</f>
        <v xml:space="preserve">   902214</v>
      </c>
      <c r="B5499" t="str">
        <f>T("   Appareils à rayons X pour usages médicaux, chirurgicaux ou vétérinaires (à l'excl. des appareils pour l'art dentaire et des appareils de tomographie pilotés par une machine automatique de traitement de l'information)")</f>
        <v xml:space="preserve">   Appareils à rayons X pour usages médicaux, chirurgicaux ou vétérinaires (à l'excl. des appareils pour l'art dentaire et des appareils de tomographie pilotés par une machine automatique de traitement de l'information)</v>
      </c>
      <c r="C5499">
        <v>1156496</v>
      </c>
      <c r="D5499">
        <v>2285</v>
      </c>
    </row>
    <row r="5500" spans="1:4" x14ac:dyDescent="0.25">
      <c r="A5500" t="str">
        <f>T("   902229")</f>
        <v xml:space="preserve">   902229</v>
      </c>
      <c r="B5500" t="str">
        <f>T("   Appareils utilisant les radiations alpha, bêta ou gamma (à usage autre que médical, chirurgical, dentaire ou vétérinaire)")</f>
        <v xml:space="preserve">   Appareils utilisant les radiations alpha, bêta ou gamma (à usage autre que médical, chirurgical, dentaire ou vétérinaire)</v>
      </c>
      <c r="C5500">
        <v>17690585</v>
      </c>
      <c r="D5500">
        <v>48</v>
      </c>
    </row>
    <row r="5501" spans="1:4" x14ac:dyDescent="0.25">
      <c r="A5501" t="str">
        <f>T("   902290")</f>
        <v xml:space="preserve">   902290</v>
      </c>
      <c r="B5501" t="s">
        <v>499</v>
      </c>
      <c r="C5501">
        <v>3313645</v>
      </c>
      <c r="D5501">
        <v>340</v>
      </c>
    </row>
    <row r="5502" spans="1:4" x14ac:dyDescent="0.25">
      <c r="A5502" t="str">
        <f>T("   902300")</f>
        <v xml:space="preserve">   902300</v>
      </c>
      <c r="B5502" t="s">
        <v>500</v>
      </c>
      <c r="C5502">
        <v>85931</v>
      </c>
      <c r="D5502">
        <v>5</v>
      </c>
    </row>
    <row r="5503" spans="1:4" x14ac:dyDescent="0.25">
      <c r="A5503" t="str">
        <f>T("   902410")</f>
        <v xml:space="preserve">   902410</v>
      </c>
      <c r="B5503" t="str">
        <f>T("   Machines et appareils d'essais des propriétés mécaniques des métaux")</f>
        <v xml:space="preserve">   Machines et appareils d'essais des propriétés mécaniques des métaux</v>
      </c>
      <c r="C5503">
        <v>60256</v>
      </c>
      <c r="D5503">
        <v>0.25</v>
      </c>
    </row>
    <row r="5504" spans="1:4" x14ac:dyDescent="0.25">
      <c r="A5504" t="str">
        <f>T("   902480")</f>
        <v xml:space="preserve">   902480</v>
      </c>
      <c r="B5504" t="str">
        <f>T("   Machines et appareils d'essais des propriétés mécaniques des matériaux (autres que les métaux)")</f>
        <v xml:space="preserve">   Machines et appareils d'essais des propriétés mécaniques des matériaux (autres que les métaux)</v>
      </c>
      <c r="C5504">
        <v>4313926</v>
      </c>
      <c r="D5504">
        <v>112</v>
      </c>
    </row>
    <row r="5505" spans="1:4" x14ac:dyDescent="0.25">
      <c r="A5505" t="str">
        <f>T("   902490")</f>
        <v xml:space="preserve">   902490</v>
      </c>
      <c r="B5505" t="str">
        <f>T("   Parties et accessoires des machines et appareils d'essais des propriétés mécaniques des matériaux, n.d.a.")</f>
        <v xml:space="preserve">   Parties et accessoires des machines et appareils d'essais des propriétés mécaniques des matériaux, n.d.a.</v>
      </c>
      <c r="C5505">
        <v>295907</v>
      </c>
      <c r="D5505">
        <v>1</v>
      </c>
    </row>
    <row r="5506" spans="1:4" x14ac:dyDescent="0.25">
      <c r="A5506" t="str">
        <f>T("   902511")</f>
        <v xml:space="preserve">   902511</v>
      </c>
      <c r="B5506" t="str">
        <f>T("   THERMOMÈTRES À LIQUIDE, À LECTURE DIRECTE, NON-COMBINÉS À D'AUTRES INSTRUMENTS")</f>
        <v xml:space="preserve">   THERMOMÈTRES À LIQUIDE, À LECTURE DIRECTE, NON-COMBINÉS À D'AUTRES INSTRUMENTS</v>
      </c>
      <c r="C5506">
        <v>2022762</v>
      </c>
      <c r="D5506">
        <v>462</v>
      </c>
    </row>
    <row r="5507" spans="1:4" x14ac:dyDescent="0.25">
      <c r="A5507" t="str">
        <f>T("   902519")</f>
        <v xml:space="preserve">   902519</v>
      </c>
      <c r="B5507" t="str">
        <f>T("   THERMOMÈTRES ET PYROMÈTRES, NON-COMBINÉS À D'AUTRES INSTRUMENTS (À L'EXCL. DES THERMOMÈTRES À LIQUIDE, À LECTURE DIRECTE) [01/01/1988-31/12/1991: THERMOMÈTRES, NON COMBINES A D'AUTRES INSTRUMENTS, (NON REPR. SOUS 9025.11)]")</f>
        <v xml:space="preserve">   THERMOMÈTRES ET PYROMÈTRES, NON-COMBINÉS À D'AUTRES INSTRUMENTS (À L'EXCL. DES THERMOMÈTRES À LIQUIDE, À LECTURE DIRECTE) [01/01/1988-31/12/1991: THERMOMÈTRES, NON COMBINES A D'AUTRES INSTRUMENTS, (NON REPR. SOUS 9025.11)]</v>
      </c>
      <c r="C5507">
        <v>8392222</v>
      </c>
      <c r="D5507">
        <v>616</v>
      </c>
    </row>
    <row r="5508" spans="1:4" x14ac:dyDescent="0.25">
      <c r="A5508" t="str">
        <f>T("   902580")</f>
        <v xml:space="preserve">   902580</v>
      </c>
      <c r="B5508" t="s">
        <v>501</v>
      </c>
      <c r="C5508">
        <v>5274256</v>
      </c>
      <c r="D5508">
        <v>128</v>
      </c>
    </row>
    <row r="5509" spans="1:4" x14ac:dyDescent="0.25">
      <c r="A5509" t="str">
        <f>T("   902590")</f>
        <v xml:space="preserve">   902590</v>
      </c>
      <c r="B5509" t="str">
        <f>T("   Parties et accessoires des densimètres, aréomètres, pèse-liquides et instruments flottants simil., des thermomètres, pyromètres, baromètres, hygromètres et psychromètres, n.d.a.")</f>
        <v xml:space="preserve">   Parties et accessoires des densimètres, aréomètres, pèse-liquides et instruments flottants simil., des thermomètres, pyromètres, baromètres, hygromètres et psychromètres, n.d.a.</v>
      </c>
      <c r="C5509">
        <v>1126883</v>
      </c>
      <c r="D5509">
        <v>13</v>
      </c>
    </row>
    <row r="5510" spans="1:4" x14ac:dyDescent="0.25">
      <c r="A5510" t="str">
        <f>T("   902610")</f>
        <v xml:space="preserve">   902610</v>
      </c>
      <c r="B5510" t="str">
        <f>T("   Instruments et appareils pour la mesure ou le contrôle du débit ou du niveau des liquides (à l'excl. des compteurs et des instruments et appareils pour la régulation ou le contrôle automatiques)")</f>
        <v xml:space="preserve">   Instruments et appareils pour la mesure ou le contrôle du débit ou du niveau des liquides (à l'excl. des compteurs et des instruments et appareils pour la régulation ou le contrôle automatiques)</v>
      </c>
      <c r="C5510">
        <v>46698522</v>
      </c>
      <c r="D5510">
        <v>699</v>
      </c>
    </row>
    <row r="5511" spans="1:4" x14ac:dyDescent="0.25">
      <c r="A5511" t="str">
        <f>T("   902620")</f>
        <v xml:space="preserve">   902620</v>
      </c>
      <c r="B5511" t="str">
        <f>T("   Instruments et appareils pour la mesure ou le contrôle de la pression des liquides ou des gaz (à l'excl. des instruments et appareils pour la régulation ou le contrôle automatiques)")</f>
        <v xml:space="preserve">   Instruments et appareils pour la mesure ou le contrôle de la pression des liquides ou des gaz (à l'excl. des instruments et appareils pour la régulation ou le contrôle automatiques)</v>
      </c>
      <c r="C5511">
        <v>33529568</v>
      </c>
      <c r="D5511">
        <v>651</v>
      </c>
    </row>
    <row r="5512" spans="1:4" x14ac:dyDescent="0.25">
      <c r="A5512" t="str">
        <f>T("   902680")</f>
        <v xml:space="preserve">   902680</v>
      </c>
      <c r="B5512" t="str">
        <f>T("   Instruments et appareils pour la mesure et le contrôle des caractéristiques variables des liquides ou des gaz, n.d.a.")</f>
        <v xml:space="preserve">   Instruments et appareils pour la mesure et le contrôle des caractéristiques variables des liquides ou des gaz, n.d.a.</v>
      </c>
      <c r="C5512">
        <v>4594637</v>
      </c>
      <c r="D5512">
        <v>128</v>
      </c>
    </row>
    <row r="5513" spans="1:4" x14ac:dyDescent="0.25">
      <c r="A5513" t="str">
        <f>T("   902690")</f>
        <v xml:space="preserve">   902690</v>
      </c>
      <c r="B5513" t="str">
        <f>T("   Parties et accessoires des instruments et appareils pour la mesure ou le contrôle du débit, du niveau, de la pression ou d'autres caractéristiques variables des liquides ou des gaz, n.d.a.")</f>
        <v xml:space="preserve">   Parties et accessoires des instruments et appareils pour la mesure ou le contrôle du débit, du niveau, de la pression ou d'autres caractéristiques variables des liquides ou des gaz, n.d.a.</v>
      </c>
      <c r="C5513">
        <v>12513196</v>
      </c>
      <c r="D5513">
        <v>58</v>
      </c>
    </row>
    <row r="5514" spans="1:4" x14ac:dyDescent="0.25">
      <c r="A5514" t="str">
        <f>T("   902710")</f>
        <v xml:space="preserve">   902710</v>
      </c>
      <c r="B5514" t="str">
        <f>T("   Analyseurs de gaz ou de fumées")</f>
        <v xml:space="preserve">   Analyseurs de gaz ou de fumées</v>
      </c>
      <c r="C5514">
        <v>7436930</v>
      </c>
      <c r="D5514">
        <v>47</v>
      </c>
    </row>
    <row r="5515" spans="1:4" x14ac:dyDescent="0.25">
      <c r="A5515" t="str">
        <f>T("   902730")</f>
        <v xml:space="preserve">   902730</v>
      </c>
      <c r="B5515" t="str">
        <f>T("   Spectromètres, spectrophotomètres et spectrographes utilisant les rayonnements optiques: UV, visibles, IR")</f>
        <v xml:space="preserve">   Spectromètres, spectrophotomètres et spectrographes utilisant les rayonnements optiques: UV, visibles, IR</v>
      </c>
      <c r="C5515">
        <v>24206153</v>
      </c>
      <c r="D5515">
        <v>100.5</v>
      </c>
    </row>
    <row r="5516" spans="1:4" x14ac:dyDescent="0.25">
      <c r="A5516" t="str">
        <f>T("   902750")</f>
        <v xml:space="preserve">   902750</v>
      </c>
      <c r="B5516" t="str">
        <f>T("   Instruments et appareils utilisant les rayonnements optiques: UV, visibles, IR (à l'excl. des spectromètres, spectrophotomètres et spectrographes ainsi que des analyseurs de gaz ou de fumées)")</f>
        <v xml:space="preserve">   Instruments et appareils utilisant les rayonnements optiques: UV, visibles, IR (à l'excl. des spectromètres, spectrophotomètres et spectrographes ainsi que des analyseurs de gaz ou de fumées)</v>
      </c>
      <c r="C5516">
        <v>4470466</v>
      </c>
      <c r="D5516">
        <v>325</v>
      </c>
    </row>
    <row r="5517" spans="1:4" x14ac:dyDescent="0.25">
      <c r="A5517" t="str">
        <f>T("   902780")</f>
        <v xml:space="preserve">   902780</v>
      </c>
      <c r="B5517" t="str">
        <f>T("   Instruments et appareils pour analyses physiques ou chimiques, ou pour essais de viscosité, de porosité, de dilatation, de tension superficielle ou simil. ou pour mesures calorimétriques ou acoustiques ou photométriques, n.d.a.")</f>
        <v xml:space="preserve">   Instruments et appareils pour analyses physiques ou chimiques, ou pour essais de viscosité, de porosité, de dilatation, de tension superficielle ou simil. ou pour mesures calorimétriques ou acoustiques ou photométriques, n.d.a.</v>
      </c>
      <c r="C5517">
        <v>46579195</v>
      </c>
      <c r="D5517">
        <v>640</v>
      </c>
    </row>
    <row r="5518" spans="1:4" x14ac:dyDescent="0.25">
      <c r="A5518" t="str">
        <f>T("   902790")</f>
        <v xml:space="preserve">   902790</v>
      </c>
      <c r="B5518" t="s">
        <v>502</v>
      </c>
      <c r="C5518">
        <v>10669125</v>
      </c>
      <c r="D5518">
        <v>118</v>
      </c>
    </row>
    <row r="5519" spans="1:4" x14ac:dyDescent="0.25">
      <c r="A5519" t="str">
        <f>T("   902820")</f>
        <v xml:space="preserve">   902820</v>
      </c>
      <c r="B5519" t="str">
        <f>T("   Compteurs de liquides, y.c. les compteurs pour leur étalonnage")</f>
        <v xml:space="preserve">   Compteurs de liquides, y.c. les compteurs pour leur étalonnage</v>
      </c>
      <c r="C5519">
        <v>30557970</v>
      </c>
      <c r="D5519">
        <v>1604</v>
      </c>
    </row>
    <row r="5520" spans="1:4" x14ac:dyDescent="0.25">
      <c r="A5520" t="str">
        <f>T("   902830")</f>
        <v xml:space="preserve">   902830</v>
      </c>
      <c r="B5520" t="str">
        <f>T("   Compteurs d'électricité, y.c. les compteurs pour leur étalonnage")</f>
        <v xml:space="preserve">   Compteurs d'électricité, y.c. les compteurs pour leur étalonnage</v>
      </c>
      <c r="C5520">
        <v>229428511</v>
      </c>
      <c r="D5520">
        <v>442.5</v>
      </c>
    </row>
    <row r="5521" spans="1:4" x14ac:dyDescent="0.25">
      <c r="A5521" t="str">
        <f>T("   902890")</f>
        <v xml:space="preserve">   902890</v>
      </c>
      <c r="B5521" t="str">
        <f>T("   Parties et accessoires de compteurs de gaz, de liquides ou d'électricité, n.d.a.")</f>
        <v xml:space="preserve">   Parties et accessoires de compteurs de gaz, de liquides ou d'électricité, n.d.a.</v>
      </c>
      <c r="C5521">
        <v>88229899</v>
      </c>
      <c r="D5521">
        <v>8379</v>
      </c>
    </row>
    <row r="5522" spans="1:4" x14ac:dyDescent="0.25">
      <c r="A5522" t="str">
        <f>T("   902910")</f>
        <v xml:space="preserve">   902910</v>
      </c>
      <c r="B5522" t="str">
        <f>T("   Compteurs de tours, compteurs de production, taximètres, totalisateurs de chemin parcouru, podomètres et compteurs simil. (à l'excl. des compteurs de gaz, de liquides et d'électricité)")</f>
        <v xml:space="preserve">   Compteurs de tours, compteurs de production, taximètres, totalisateurs de chemin parcouru, podomètres et compteurs simil. (à l'excl. des compteurs de gaz, de liquides et d'électricité)</v>
      </c>
      <c r="C5522">
        <v>127913</v>
      </c>
      <c r="D5522">
        <v>14</v>
      </c>
    </row>
    <row r="5523" spans="1:4" x14ac:dyDescent="0.25">
      <c r="A5523" t="str">
        <f>T("   902920")</f>
        <v xml:space="preserve">   902920</v>
      </c>
      <c r="B5523" t="str">
        <f>T("   Indicateurs de vitesse et tachymètres; stroboscopes")</f>
        <v xml:space="preserve">   Indicateurs de vitesse et tachymètres; stroboscopes</v>
      </c>
      <c r="C5523">
        <v>1120485</v>
      </c>
      <c r="D5523">
        <v>49</v>
      </c>
    </row>
    <row r="5524" spans="1:4" x14ac:dyDescent="0.25">
      <c r="A5524" t="str">
        <f>T("   903020")</f>
        <v xml:space="preserve">   903020</v>
      </c>
      <c r="B5524" t="str">
        <f>T("   OSCILLOSCOPES ET OSCILLOGRAPHES")</f>
        <v xml:space="preserve">   OSCILLOSCOPES ET OSCILLOGRAPHES</v>
      </c>
      <c r="C5524">
        <v>788994</v>
      </c>
      <c r="D5524">
        <v>179.5</v>
      </c>
    </row>
    <row r="5525" spans="1:4" x14ac:dyDescent="0.25">
      <c r="A5525" t="str">
        <f>T("   903031")</f>
        <v xml:space="preserve">   903031</v>
      </c>
      <c r="B5525" t="str">
        <f>T("   Multimètres pour la mesure de la tension, de l'intensité, de la résistance ou de la puissance, sans dispositif enregistreur")</f>
        <v xml:space="preserve">   Multimètres pour la mesure de la tension, de l'intensité, de la résistance ou de la puissance, sans dispositif enregistreur</v>
      </c>
      <c r="C5525">
        <v>5867122</v>
      </c>
      <c r="D5525">
        <v>54</v>
      </c>
    </row>
    <row r="5526" spans="1:4" x14ac:dyDescent="0.25">
      <c r="A5526" t="str">
        <f>T("   903039")</f>
        <v xml:space="preserve">   903039</v>
      </c>
      <c r="B5526" t="str">
        <f>T("   Instruments et appareils pour la mesure ou le contrôle de la tension, de l'intensité, de la résistance ou de la puissance, sans dispositif enregistreur (à l'excl. des multimètres ainsi que des oscilloscopes et oscillographes cathodiques)")</f>
        <v xml:space="preserve">   Instruments et appareils pour la mesure ou le contrôle de la tension, de l'intensité, de la résistance ou de la puissance, sans dispositif enregistreur (à l'excl. des multimètres ainsi que des oscilloscopes et oscillographes cathodiques)</v>
      </c>
      <c r="C5526">
        <v>22895768</v>
      </c>
      <c r="D5526">
        <v>1664</v>
      </c>
    </row>
    <row r="5527" spans="1:4" x14ac:dyDescent="0.25">
      <c r="A5527" t="str">
        <f>T("   903040")</f>
        <v xml:space="preserve">   903040</v>
      </c>
      <c r="B5527" t="str">
        <f>T("   Instruments et appareils pour la mesure ou le contrôle de grandeurs électriques, spécialement conçus pour les techniques de la télécommunication, p.ex. hypsomètres, kerdomètres, distorsiomètres, psophomètres")</f>
        <v xml:space="preserve">   Instruments et appareils pour la mesure ou le contrôle de grandeurs électriques, spécialement conçus pour les techniques de la télécommunication, p.ex. hypsomètres, kerdomètres, distorsiomètres, psophomètres</v>
      </c>
      <c r="C5527">
        <v>5257194</v>
      </c>
      <c r="D5527">
        <v>2442</v>
      </c>
    </row>
    <row r="5528" spans="1:4" x14ac:dyDescent="0.25">
      <c r="A5528" t="str">
        <f>T("   903089")</f>
        <v xml:space="preserve">   903089</v>
      </c>
      <c r="B5528" t="str">
        <f>T("   Instruments et appareils pour la mesure ou le contrôle de grandeurs électriques, sans dispositif enregistreur, n.d.a.")</f>
        <v xml:space="preserve">   Instruments et appareils pour la mesure ou le contrôle de grandeurs électriques, sans dispositif enregistreur, n.d.a.</v>
      </c>
      <c r="C5528">
        <v>1814700</v>
      </c>
      <c r="D5528">
        <v>8.25</v>
      </c>
    </row>
    <row r="5529" spans="1:4" x14ac:dyDescent="0.25">
      <c r="A5529" t="str">
        <f>T("   903090")</f>
        <v xml:space="preserve">   903090</v>
      </c>
      <c r="B5529" t="str">
        <f>T("   Parties et accessoires des instruments et appareils pour la mesure ou le contrôle de grandeurs électriques ou pour la mesure ou la détection des radiations ionisantes, n.d.a.")</f>
        <v xml:space="preserve">   Parties et accessoires des instruments et appareils pour la mesure ou le contrôle de grandeurs électriques ou pour la mesure ou la détection des radiations ionisantes, n.d.a.</v>
      </c>
      <c r="C5529">
        <v>1083385</v>
      </c>
      <c r="D5529">
        <v>1</v>
      </c>
    </row>
    <row r="5530" spans="1:4" x14ac:dyDescent="0.25">
      <c r="A5530" t="str">
        <f>T("   903110")</f>
        <v xml:space="preserve">   903110</v>
      </c>
      <c r="B5530" t="str">
        <f>T("   Machines à équilibrer les pièces mécaniques")</f>
        <v xml:space="preserve">   Machines à équilibrer les pièces mécaniques</v>
      </c>
      <c r="C5530">
        <v>1195566</v>
      </c>
      <c r="D5530">
        <v>134</v>
      </c>
    </row>
    <row r="5531" spans="1:4" x14ac:dyDescent="0.25">
      <c r="A5531" t="str">
        <f>T("   903120")</f>
        <v xml:space="preserve">   903120</v>
      </c>
      <c r="B5531" t="str">
        <f>T("   Bancs d'essai pour moteurs, machines génératrices, pompes, etc.")</f>
        <v xml:space="preserve">   Bancs d'essai pour moteurs, machines génératrices, pompes, etc.</v>
      </c>
      <c r="C5531">
        <v>10769263</v>
      </c>
      <c r="D5531">
        <v>2074</v>
      </c>
    </row>
    <row r="5532" spans="1:4" x14ac:dyDescent="0.25">
      <c r="A5532" t="str">
        <f>T("   903180")</f>
        <v xml:space="preserve">   903180</v>
      </c>
      <c r="B5532" t="str">
        <f>T("   INSTRUMENTS, APPAREILS ET MACHINES DE MESURE OU DE CONTRÔLE, NON-OPTIQUES, N.D.A. DANS LE PRÉSENT CHAPITRE")</f>
        <v xml:space="preserve">   INSTRUMENTS, APPAREILS ET MACHINES DE MESURE OU DE CONTRÔLE, NON-OPTIQUES, N.D.A. DANS LE PRÉSENT CHAPITRE</v>
      </c>
      <c r="C5532">
        <v>41965076</v>
      </c>
      <c r="D5532">
        <v>2569.5</v>
      </c>
    </row>
    <row r="5533" spans="1:4" x14ac:dyDescent="0.25">
      <c r="A5533" t="str">
        <f>T("   903190")</f>
        <v xml:space="preserve">   903190</v>
      </c>
      <c r="B5533" t="str">
        <f>T("   Parties et accessoires des instruments, appareils et machines de mesure ou de contrôle, n.d.a.")</f>
        <v xml:space="preserve">   Parties et accessoires des instruments, appareils et machines de mesure ou de contrôle, n.d.a.</v>
      </c>
      <c r="C5533">
        <v>354947</v>
      </c>
      <c r="D5533">
        <v>8</v>
      </c>
    </row>
    <row r="5534" spans="1:4" x14ac:dyDescent="0.25">
      <c r="A5534" t="str">
        <f>T("   903210")</f>
        <v xml:space="preserve">   903210</v>
      </c>
      <c r="B5534" t="str">
        <f>T("   Thermostats pour la régulation ou le contrôle automatiques")</f>
        <v xml:space="preserve">   Thermostats pour la régulation ou le contrôle automatiques</v>
      </c>
      <c r="C5534">
        <v>737288</v>
      </c>
      <c r="D5534">
        <v>32</v>
      </c>
    </row>
    <row r="5535" spans="1:4" x14ac:dyDescent="0.25">
      <c r="A5535" t="str">
        <f>T("   903220")</f>
        <v xml:space="preserve">   903220</v>
      </c>
      <c r="B5535" t="str">
        <f>T("   Manostats [pressostats] (sauf les articles de robinetterie du n° 8481)")</f>
        <v xml:space="preserve">   Manostats [pressostats] (sauf les articles de robinetterie du n° 8481)</v>
      </c>
      <c r="C5535">
        <v>6659679</v>
      </c>
      <c r="D5535">
        <v>179</v>
      </c>
    </row>
    <row r="5536" spans="1:4" x14ac:dyDescent="0.25">
      <c r="A5536" t="str">
        <f>T("   903281")</f>
        <v xml:space="preserve">   903281</v>
      </c>
      <c r="B5536" t="str">
        <f>T("   Instruments et appareils, hydrauliques et pneumatiques, pour la régulation ou le contrôle automatiques (à l'excl. des manostats [pressostats] et des articles de robinetterie du n° 8481)")</f>
        <v xml:space="preserve">   Instruments et appareils, hydrauliques et pneumatiques, pour la régulation ou le contrôle automatiques (à l'excl. des manostats [pressostats] et des articles de robinetterie du n° 8481)</v>
      </c>
      <c r="C5536">
        <v>1040335</v>
      </c>
      <c r="D5536">
        <v>1</v>
      </c>
    </row>
    <row r="5537" spans="1:4" x14ac:dyDescent="0.25">
      <c r="A5537" t="str">
        <f>T("   903289")</f>
        <v xml:space="preserve">   903289</v>
      </c>
      <c r="B5537" t="s">
        <v>503</v>
      </c>
      <c r="C5537">
        <v>43900586</v>
      </c>
      <c r="D5537">
        <v>21415</v>
      </c>
    </row>
    <row r="5538" spans="1:4" x14ac:dyDescent="0.25">
      <c r="A5538" t="str">
        <f>T("   903290")</f>
        <v xml:space="preserve">   903290</v>
      </c>
      <c r="B5538" t="str">
        <f>T("   Parties et accessoires des instruments et appareils pour la régulation ou le contrôle automatiques, n.d.a.")</f>
        <v xml:space="preserve">   Parties et accessoires des instruments et appareils pour la régulation ou le contrôle automatiques, n.d.a.</v>
      </c>
      <c r="C5538">
        <v>370617</v>
      </c>
      <c r="D5538">
        <v>5</v>
      </c>
    </row>
    <row r="5539" spans="1:4" x14ac:dyDescent="0.25">
      <c r="A5539" t="str">
        <f>T("   903300")</f>
        <v xml:space="preserve">   903300</v>
      </c>
      <c r="B5539" t="str">
        <f>T("   Parties et accessoires pour machines, appareils, instruments ou articles du chapitre 90, non dénommés ni compris dans le présent chapitre ou ailleurs")</f>
        <v xml:space="preserve">   Parties et accessoires pour machines, appareils, instruments ou articles du chapitre 90, non dénommés ni compris dans le présent chapitre ou ailleurs</v>
      </c>
      <c r="C5539">
        <v>8370163</v>
      </c>
      <c r="D5539">
        <v>39</v>
      </c>
    </row>
    <row r="5540" spans="1:4" x14ac:dyDescent="0.25">
      <c r="A5540" t="str">
        <f>T("   910119")</f>
        <v xml:space="preserve">   910119</v>
      </c>
      <c r="B5540" t="str">
        <f>T("   Montres-bracelets, même incorporant un compteur de temps, fonctionnant électriquement, à affichage mécanique et optoélectronique, avec boîte en métaux précieux ou en plaqués ou doublés de métaux précieux (sauf celles dont le fond est en acier)")</f>
        <v xml:space="preserve">   Montres-bracelets, même incorporant un compteur de temps, fonctionnant électriquement, à affichage mécanique et optoélectronique, avec boîte en métaux précieux ou en plaqués ou doublés de métaux précieux (sauf celles dont le fond est en acier)</v>
      </c>
      <c r="C5540">
        <v>321138</v>
      </c>
      <c r="D5540">
        <v>2</v>
      </c>
    </row>
    <row r="5541" spans="1:4" x14ac:dyDescent="0.25">
      <c r="A5541" t="str">
        <f>T("   910219")</f>
        <v xml:space="preserve">   910219</v>
      </c>
      <c r="B5541" t="str">
        <f>T("   Montres-bracelets, même incorporant un compteur de temps, fonctionnant électriquement, à affichage mécanique et optoélectronique (autres que celles en métaux précieux ou en plaqués ou doublés de métaux précieux)")</f>
        <v xml:space="preserve">   Montres-bracelets, même incorporant un compteur de temps, fonctionnant électriquement, à affichage mécanique et optoélectronique (autres que celles en métaux précieux ou en plaqués ou doublés de métaux précieux)</v>
      </c>
      <c r="C5541">
        <v>2304460</v>
      </c>
      <c r="D5541">
        <v>9</v>
      </c>
    </row>
    <row r="5542" spans="1:4" x14ac:dyDescent="0.25">
      <c r="A5542" t="str">
        <f>T("   910591")</f>
        <v xml:space="preserve">   910591</v>
      </c>
      <c r="B5542" t="s">
        <v>504</v>
      </c>
      <c r="C5542">
        <v>350282</v>
      </c>
      <c r="D5542">
        <v>34</v>
      </c>
    </row>
    <row r="5543" spans="1:4" x14ac:dyDescent="0.25">
      <c r="A5543" t="str">
        <f>T("   910599")</f>
        <v xml:space="preserve">   910599</v>
      </c>
      <c r="B5543" t="s">
        <v>505</v>
      </c>
      <c r="C5543">
        <v>266319</v>
      </c>
      <c r="D5543">
        <v>105</v>
      </c>
    </row>
    <row r="5544" spans="1:4" x14ac:dyDescent="0.25">
      <c r="A5544" t="str">
        <f>T("   910610")</f>
        <v xml:space="preserve">   910610</v>
      </c>
      <c r="B5544" t="str">
        <f>T("   HORLOGES DE POINTAGE; HORODATEURS ET HOROCOMPTEURS [01/01/1988-31/12/1994: HORLOGES DE POINTAGE; HORODATEURS ET HOROCOMPTEURS]")</f>
        <v xml:space="preserve">   HORLOGES DE POINTAGE; HORODATEURS ET HOROCOMPTEURS [01/01/1988-31/12/1994: HORLOGES DE POINTAGE; HORODATEURS ET HOROCOMPTEURS]</v>
      </c>
      <c r="C5544">
        <v>827828</v>
      </c>
      <c r="D5544">
        <v>30</v>
      </c>
    </row>
    <row r="5545" spans="1:4" x14ac:dyDescent="0.25">
      <c r="A5545" t="str">
        <f>T("   910690")</f>
        <v xml:space="preserve">   910690</v>
      </c>
      <c r="B5545" t="str">
        <f>T("   APPAREILS DE CONTRÔLE DE TEMPS, À MOUVEMENT D'HORLOGERIE OU À MOTEUR SYNCHRONE (AUTRES QU'APPAREILS D'HORLOGERIE DU N° 9101 À 9105, HORLOGES DE POINTAGE, HORODATEURS ET HOROCOMPTEURS)")</f>
        <v xml:space="preserve">   APPAREILS DE CONTRÔLE DE TEMPS, À MOUVEMENT D'HORLOGERIE OU À MOTEUR SYNCHRONE (AUTRES QU'APPAREILS D'HORLOGERIE DU N° 9101 À 9105, HORLOGES DE POINTAGE, HORODATEURS ET HOROCOMPTEURS)</v>
      </c>
      <c r="C5545">
        <v>708</v>
      </c>
      <c r="D5545">
        <v>1</v>
      </c>
    </row>
    <row r="5546" spans="1:4" x14ac:dyDescent="0.25">
      <c r="A5546" t="str">
        <f>T("   910700")</f>
        <v xml:space="preserve">   910700</v>
      </c>
      <c r="B5546" t="str">
        <f>T("   Interrupteurs horaires et autres appareils permettant de déclencher un mécanisme à temps donné, munis d'un mouvement d'horlogerie ou d'un moteur synchrone")</f>
        <v xml:space="preserve">   Interrupteurs horaires et autres appareils permettant de déclencher un mécanisme à temps donné, munis d'un mouvement d'horlogerie ou d'un moteur synchrone</v>
      </c>
      <c r="C5546">
        <v>1186632</v>
      </c>
      <c r="D5546">
        <v>61</v>
      </c>
    </row>
    <row r="5547" spans="1:4" x14ac:dyDescent="0.25">
      <c r="A5547" t="str">
        <f>T("   920110")</f>
        <v xml:space="preserve">   920110</v>
      </c>
      <c r="B5547" t="str">
        <f>T("   Pianos droits")</f>
        <v xml:space="preserve">   Pianos droits</v>
      </c>
      <c r="C5547">
        <v>80000</v>
      </c>
      <c r="D5547">
        <v>7</v>
      </c>
    </row>
    <row r="5548" spans="1:4" x14ac:dyDescent="0.25">
      <c r="A5548" t="str">
        <f>T("   920290")</f>
        <v xml:space="preserve">   920290</v>
      </c>
      <c r="B5548" t="str">
        <f>T("   Guitares, harpes et autres instruments de musique à cordes (autres qu'à clavier et à cordes frottées)")</f>
        <v xml:space="preserve">   Guitares, harpes et autres instruments de musique à cordes (autres qu'à clavier et à cordes frottées)</v>
      </c>
      <c r="C5548">
        <v>97062</v>
      </c>
      <c r="D5548">
        <v>24.33</v>
      </c>
    </row>
    <row r="5549" spans="1:4" x14ac:dyDescent="0.25">
      <c r="A5549" t="str">
        <f>T("   920790")</f>
        <v xml:space="preserve">   920790</v>
      </c>
      <c r="B5549" t="str">
        <f>T("   Accordéons électriques et autres instruments de musique électriques")</f>
        <v xml:space="preserve">   Accordéons électriques et autres instruments de musique électriques</v>
      </c>
      <c r="C5549">
        <v>199394</v>
      </c>
      <c r="D5549">
        <v>72</v>
      </c>
    </row>
    <row r="5550" spans="1:4" x14ac:dyDescent="0.25">
      <c r="A5550" t="str">
        <f>T("   920890")</f>
        <v xml:space="preserve">   920890</v>
      </c>
      <c r="B5550" t="str">
        <f>T("   Orchestrions, orgues de Barbarie, oiseaux chanteurs, scies musicales et autres instruments de musique non repris dans le présent chapitre; appeaux, sifflets, cornes d'appel et autres instruments d'appel ou de signalisation à bouche")</f>
        <v xml:space="preserve">   Orchestrions, orgues de Barbarie, oiseaux chanteurs, scies musicales et autres instruments de musique non repris dans le présent chapitre; appeaux, sifflets, cornes d'appel et autres instruments d'appel ou de signalisation à bouche</v>
      </c>
      <c r="C5550">
        <v>1408871</v>
      </c>
      <c r="D5550">
        <v>25</v>
      </c>
    </row>
    <row r="5551" spans="1:4" x14ac:dyDescent="0.25">
      <c r="A5551" t="str">
        <f>T("   930120")</f>
        <v xml:space="preserve">   930120</v>
      </c>
      <c r="B5551" t="str">
        <f>T("   Tubes lance-missiles; lance-flammes; lance-grenades; lance-torpilles et lanceurs similaires")</f>
        <v xml:space="preserve">   Tubes lance-missiles; lance-flammes; lance-grenades; lance-torpilles et lanceurs similaires</v>
      </c>
      <c r="C5551">
        <v>60394</v>
      </c>
      <c r="D5551">
        <v>2</v>
      </c>
    </row>
    <row r="5552" spans="1:4" x14ac:dyDescent="0.25">
      <c r="A5552" t="str">
        <f>T("   940120")</f>
        <v xml:space="preserve">   940120</v>
      </c>
      <c r="B5552" t="str">
        <f>T("   Sièges pour véhicules automobiles")</f>
        <v xml:space="preserve">   Sièges pour véhicules automobiles</v>
      </c>
      <c r="C5552">
        <v>2103382</v>
      </c>
      <c r="D5552">
        <v>87</v>
      </c>
    </row>
    <row r="5553" spans="1:4" x14ac:dyDescent="0.25">
      <c r="A5553" t="str">
        <f>T("   940130")</f>
        <v xml:space="preserve">   940130</v>
      </c>
      <c r="B5553" t="str">
        <f>T("   Sièges pivotants, ajustables en hauteur (à l'excl. de ceux pour la médecine, la chirurgie, l'art dentaire ou vétérinaire, ainsi que des fauteuils pour salons de coiffure)")</f>
        <v xml:space="preserve">   Sièges pivotants, ajustables en hauteur (à l'excl. de ceux pour la médecine, la chirurgie, l'art dentaire ou vétérinaire, ainsi que des fauteuils pour salons de coiffure)</v>
      </c>
      <c r="C5553">
        <v>23076374</v>
      </c>
      <c r="D5553">
        <v>8977.68</v>
      </c>
    </row>
    <row r="5554" spans="1:4" x14ac:dyDescent="0.25">
      <c r="A5554" t="str">
        <f>T("   940169")</f>
        <v xml:space="preserve">   940169</v>
      </c>
      <c r="B5554" t="str">
        <f>T("   Sièges, avec bâti en bois, non rembourrés")</f>
        <v xml:space="preserve">   Sièges, avec bâti en bois, non rembourrés</v>
      </c>
      <c r="C5554">
        <v>3319977</v>
      </c>
      <c r="D5554">
        <v>5210</v>
      </c>
    </row>
    <row r="5555" spans="1:4" x14ac:dyDescent="0.25">
      <c r="A5555" t="str">
        <f>T("   940179")</f>
        <v xml:space="preserve">   940179</v>
      </c>
      <c r="B5555" t="str">
        <f>T("   Sièges, avec bâti en métal non rembourrés (autres que fauteuils pivotants ajustables en hauteur et autres que pour la médecine, l'art dentaire ou la chirurgie)")</f>
        <v xml:space="preserve">   Sièges, avec bâti en métal non rembourrés (autres que fauteuils pivotants ajustables en hauteur et autres que pour la médecine, l'art dentaire ou la chirurgie)</v>
      </c>
      <c r="C5555">
        <v>5557949</v>
      </c>
      <c r="D5555">
        <v>1307</v>
      </c>
    </row>
    <row r="5556" spans="1:4" x14ac:dyDescent="0.25">
      <c r="A5556" t="str">
        <f>T("   940180")</f>
        <v xml:space="preserve">   940180</v>
      </c>
      <c r="B5556" t="str">
        <f>T("   Sièges, n.d.a.")</f>
        <v xml:space="preserve">   Sièges, n.d.a.</v>
      </c>
      <c r="C5556">
        <v>57606834</v>
      </c>
      <c r="D5556">
        <v>19342</v>
      </c>
    </row>
    <row r="5557" spans="1:4" x14ac:dyDescent="0.25">
      <c r="A5557" t="str">
        <f>T("   940190")</f>
        <v xml:space="preserve">   940190</v>
      </c>
      <c r="B5557" t="str">
        <f>T("   Parties de sièges, n.d.a.")</f>
        <v xml:space="preserve">   Parties de sièges, n.d.a.</v>
      </c>
      <c r="C5557">
        <v>1237744</v>
      </c>
      <c r="D5557">
        <v>109.32</v>
      </c>
    </row>
    <row r="5558" spans="1:4" x14ac:dyDescent="0.25">
      <c r="A5558" t="str">
        <f>T("   940210")</f>
        <v xml:space="preserve">   940210</v>
      </c>
      <c r="B5558" t="str">
        <f>T("   Fauteuils de dentistes, fauteuils pour salons de coiffure et fauteuils simil., avec dispositif à la fois d'orientation et d'élévation, et leurs parties, n.d.a.")</f>
        <v xml:space="preserve">   Fauteuils de dentistes, fauteuils pour salons de coiffure et fauteuils simil., avec dispositif à la fois d'orientation et d'élévation, et leurs parties, n.d.a.</v>
      </c>
      <c r="C5558">
        <v>2949196</v>
      </c>
      <c r="D5558">
        <v>8995</v>
      </c>
    </row>
    <row r="5559" spans="1:4" x14ac:dyDescent="0.25">
      <c r="A5559" t="str">
        <f>T("   940290")</f>
        <v xml:space="preserve">   940290</v>
      </c>
      <c r="B5559" t="str">
        <f>T("   Tables d'opération, tables d'examen et autre mobilier pour la médecine, la chirurgie, l'art dentaire ou vétérinaire (sauf fauteuils de dentistes et autres sièges, tables d'examen radiographique, civières et brancards, y.c. chariots-brancards)")</f>
        <v xml:space="preserve">   Tables d'opération, tables d'examen et autre mobilier pour la médecine, la chirurgie, l'art dentaire ou vétérinaire (sauf fauteuils de dentistes et autres sièges, tables d'examen radiographique, civières et brancards, y.c. chariots-brancards)</v>
      </c>
      <c r="C5559">
        <v>6819840</v>
      </c>
      <c r="D5559">
        <v>27262</v>
      </c>
    </row>
    <row r="5560" spans="1:4" x14ac:dyDescent="0.25">
      <c r="A5560" t="str">
        <f>T("   940310")</f>
        <v xml:space="preserve">   940310</v>
      </c>
      <c r="B5560" t="str">
        <f>T("   Meubles de bureau en métal (sauf sièges)")</f>
        <v xml:space="preserve">   Meubles de bureau en métal (sauf sièges)</v>
      </c>
      <c r="C5560">
        <v>56622275</v>
      </c>
      <c r="D5560">
        <v>31235</v>
      </c>
    </row>
    <row r="5561" spans="1:4" x14ac:dyDescent="0.25">
      <c r="A5561" t="str">
        <f>T("   940320")</f>
        <v xml:space="preserve">   940320</v>
      </c>
      <c r="B5561" t="str">
        <f>T("   Meubles en métal, sauf meubles de bureau, sièges et mobilier pour la médecine, la chirurgie, l'art dentaire ou vétérinaire")</f>
        <v xml:space="preserve">   Meubles en métal, sauf meubles de bureau, sièges et mobilier pour la médecine, la chirurgie, l'art dentaire ou vétérinaire</v>
      </c>
      <c r="C5561">
        <v>43577092</v>
      </c>
      <c r="D5561">
        <v>8462</v>
      </c>
    </row>
    <row r="5562" spans="1:4" x14ac:dyDescent="0.25">
      <c r="A5562" t="str">
        <f>T("   940330")</f>
        <v xml:space="preserve">   940330</v>
      </c>
      <c r="B5562" t="str">
        <f>T("   Meubles de bureau en bois (sauf sièges)")</f>
        <v xml:space="preserve">   Meubles de bureau en bois (sauf sièges)</v>
      </c>
      <c r="C5562">
        <v>92951049</v>
      </c>
      <c r="D5562">
        <v>94839</v>
      </c>
    </row>
    <row r="5563" spans="1:4" x14ac:dyDescent="0.25">
      <c r="A5563" t="str">
        <f>T("   940340")</f>
        <v xml:space="preserve">   940340</v>
      </c>
      <c r="B5563" t="str">
        <f>T("   Meubles de cuisine, en bois (sauf sièges)")</f>
        <v xml:space="preserve">   Meubles de cuisine, en bois (sauf sièges)</v>
      </c>
      <c r="C5563">
        <v>43233118</v>
      </c>
      <c r="D5563">
        <v>5745</v>
      </c>
    </row>
    <row r="5564" spans="1:4" x14ac:dyDescent="0.25">
      <c r="A5564" t="str">
        <f>T("   940350")</f>
        <v xml:space="preserve">   940350</v>
      </c>
      <c r="B5564" t="str">
        <f>T("   Meubles pour chambres à coucher, en bois (sauf sièges)")</f>
        <v xml:space="preserve">   Meubles pour chambres à coucher, en bois (sauf sièges)</v>
      </c>
      <c r="C5564">
        <v>49846856</v>
      </c>
      <c r="D5564">
        <v>61886</v>
      </c>
    </row>
    <row r="5565" spans="1:4" x14ac:dyDescent="0.25">
      <c r="A5565" t="str">
        <f>T("   940360")</f>
        <v xml:space="preserve">   940360</v>
      </c>
      <c r="B5565" t="str">
        <f>T("   Meubles en bois (autres que pour bureaux, cuisines ou chambres à coucher et autres que sièges)")</f>
        <v xml:space="preserve">   Meubles en bois (autres que pour bureaux, cuisines ou chambres à coucher et autres que sièges)</v>
      </c>
      <c r="C5565">
        <v>189523680</v>
      </c>
      <c r="D5565">
        <v>141478.35</v>
      </c>
    </row>
    <row r="5566" spans="1:4" x14ac:dyDescent="0.25">
      <c r="A5566" t="str">
        <f>T("   940370")</f>
        <v xml:space="preserve">   940370</v>
      </c>
      <c r="B5566" t="str">
        <f>T("   Meubles en matières plastiques (autres que pour la médecine, l'art dentaire et vétérinaire, la chirurgie et autres que sièges)")</f>
        <v xml:space="preserve">   Meubles en matières plastiques (autres que pour la médecine, l'art dentaire et vétérinaire, la chirurgie et autres que sièges)</v>
      </c>
      <c r="C5566">
        <v>20162027</v>
      </c>
      <c r="D5566">
        <v>11360</v>
      </c>
    </row>
    <row r="5567" spans="1:4" x14ac:dyDescent="0.25">
      <c r="A5567" t="str">
        <f>T("   940380")</f>
        <v xml:space="preserve">   940380</v>
      </c>
      <c r="B5567" t="str">
        <f>T("   Meubles en rotin, osier, bambou ou autres matières (sauf métal, bois et matières plastiques)")</f>
        <v xml:space="preserve">   Meubles en rotin, osier, bambou ou autres matières (sauf métal, bois et matières plastiques)</v>
      </c>
      <c r="C5567">
        <v>142227922</v>
      </c>
      <c r="D5567">
        <v>131692</v>
      </c>
    </row>
    <row r="5568" spans="1:4" x14ac:dyDescent="0.25">
      <c r="A5568" t="str">
        <f>T("   940390")</f>
        <v xml:space="preserve">   940390</v>
      </c>
      <c r="B5568" t="str">
        <f>T("   PARTIES DE MEUBLES, N.D.A. (AUTRES QUE DE SIÈGES ET MOBILIER POUR LA MÉDECINE, L'ART DENTAIRE ET VÉTÉRINAIRE OU LA CHIRURGIE)")</f>
        <v xml:space="preserve">   PARTIES DE MEUBLES, N.D.A. (AUTRES QUE DE SIÈGES ET MOBILIER POUR LA MÉDECINE, L'ART DENTAIRE ET VÉTÉRINAIRE OU LA CHIRURGIE)</v>
      </c>
      <c r="C5568">
        <v>6421349</v>
      </c>
      <c r="D5568">
        <v>3677</v>
      </c>
    </row>
    <row r="5569" spans="1:4" x14ac:dyDescent="0.25">
      <c r="A5569" t="str">
        <f>T("   940410")</f>
        <v xml:space="preserve">   940410</v>
      </c>
      <c r="B5569" t="str">
        <f>T("   Sommiers (sauf ressorts pour sièges)")</f>
        <v xml:space="preserve">   Sommiers (sauf ressorts pour sièges)</v>
      </c>
      <c r="C5569">
        <v>342391</v>
      </c>
      <c r="D5569">
        <v>82</v>
      </c>
    </row>
    <row r="5570" spans="1:4" x14ac:dyDescent="0.25">
      <c r="A5570" t="str">
        <f>T("   940429")</f>
        <v xml:space="preserve">   940429</v>
      </c>
      <c r="B5570" t="str">
        <f>T("   Matelas à ressorts ou rembourrés, ou garnis intérieurement de matières autres que le caoutchouc alvéolaire ou les matières plastiques alvéolaires (sauf matelas à eau, matelas pneumatiques et oreillers)")</f>
        <v xml:space="preserve">   Matelas à ressorts ou rembourrés, ou garnis intérieurement de matières autres que le caoutchouc alvéolaire ou les matières plastiques alvéolaires (sauf matelas à eau, matelas pneumatiques et oreillers)</v>
      </c>
      <c r="C5570">
        <v>2115925</v>
      </c>
      <c r="D5570">
        <v>2135</v>
      </c>
    </row>
    <row r="5571" spans="1:4" x14ac:dyDescent="0.25">
      <c r="A5571" t="str">
        <f>T("   940490")</f>
        <v xml:space="preserve">   940490</v>
      </c>
      <c r="B5571" t="s">
        <v>508</v>
      </c>
      <c r="C5571">
        <v>33497445</v>
      </c>
      <c r="D5571">
        <v>45352</v>
      </c>
    </row>
    <row r="5572" spans="1:4" x14ac:dyDescent="0.25">
      <c r="A5572" t="str">
        <f>T("   940510")</f>
        <v xml:space="preserve">   940510</v>
      </c>
      <c r="B5572" t="str">
        <f>T("   Lustres et autres appareils d'éclairage électrique à suspendre ou à fixer au plafond ou au mur (sauf pour l'éclairage des espaces et voies publiques)")</f>
        <v xml:space="preserve">   Lustres et autres appareils d'éclairage électrique à suspendre ou à fixer au plafond ou au mur (sauf pour l'éclairage des espaces et voies publiques)</v>
      </c>
      <c r="C5572">
        <v>68888963</v>
      </c>
      <c r="D5572">
        <v>11595</v>
      </c>
    </row>
    <row r="5573" spans="1:4" x14ac:dyDescent="0.25">
      <c r="A5573" t="str">
        <f>T("   940520")</f>
        <v xml:space="preserve">   940520</v>
      </c>
      <c r="B5573" t="str">
        <f>T("   Lampes de chevet, lampes de bureau et lampadaires d'intérieur, électriques")</f>
        <v xml:space="preserve">   Lampes de chevet, lampes de bureau et lampadaires d'intérieur, électriques</v>
      </c>
      <c r="C5573">
        <v>13174957</v>
      </c>
      <c r="D5573">
        <v>1932</v>
      </c>
    </row>
    <row r="5574" spans="1:4" x14ac:dyDescent="0.25">
      <c r="A5574" t="str">
        <f>T("   940540")</f>
        <v xml:space="preserve">   940540</v>
      </c>
      <c r="B5574" t="str">
        <f>T("   Appareils d'éclairage électrique, n.d.a.")</f>
        <v xml:space="preserve">   Appareils d'éclairage électrique, n.d.a.</v>
      </c>
      <c r="C5574">
        <v>55522009</v>
      </c>
      <c r="D5574">
        <v>11686</v>
      </c>
    </row>
    <row r="5575" spans="1:4" x14ac:dyDescent="0.25">
      <c r="A5575" t="str">
        <f>T("   940550")</f>
        <v xml:space="preserve">   940550</v>
      </c>
      <c r="B5575" t="str">
        <f>T("   Appareils d'éclairage non-électriques, n.d.a.")</f>
        <v xml:space="preserve">   Appareils d'éclairage non-électriques, n.d.a.</v>
      </c>
      <c r="C5575">
        <v>1125863</v>
      </c>
      <c r="D5575">
        <v>247</v>
      </c>
    </row>
    <row r="5576" spans="1:4" x14ac:dyDescent="0.25">
      <c r="A5576" t="str">
        <f>T("   940560")</f>
        <v xml:space="preserve">   940560</v>
      </c>
      <c r="B5576" t="str">
        <f>T("   Lampes-réclames, enseignes lumineuses, plaques indicatrices lumineuses et articles simil., possédant une source d'éclairage fixée à demeure")</f>
        <v xml:space="preserve">   Lampes-réclames, enseignes lumineuses, plaques indicatrices lumineuses et articles simil., possédant une source d'éclairage fixée à demeure</v>
      </c>
      <c r="C5576">
        <v>18057404</v>
      </c>
      <c r="D5576">
        <v>1730</v>
      </c>
    </row>
    <row r="5577" spans="1:4" x14ac:dyDescent="0.25">
      <c r="A5577" t="str">
        <f>T("   940600")</f>
        <v xml:space="preserve">   940600</v>
      </c>
      <c r="B5577" t="str">
        <f>T("   Constructions préfabriquées, même incomplètes ou non encore montées")</f>
        <v xml:space="preserve">   Constructions préfabriquées, même incomplètes ou non encore montées</v>
      </c>
      <c r="C5577">
        <v>258390921</v>
      </c>
      <c r="D5577">
        <v>104089</v>
      </c>
    </row>
    <row r="5578" spans="1:4" x14ac:dyDescent="0.25">
      <c r="A5578" t="str">
        <f>T("   950100")</f>
        <v xml:space="preserve">   950100</v>
      </c>
      <c r="B5578" t="str">
        <f>T("   JOUETS À ROUES CONÇUS POUR ÊTRE MONTÉS PAR LES ENFANTS, P.EX. TRICYCLES, TROTTINETTES, AUTOS À PÉDALES (À L'EXCL. DES CYCLES HABITUELS AVEC ROULEMENT À BILLES); LANDAUS ET POUSSETTES POUR POUPÉES")</f>
        <v xml:space="preserve">   JOUETS À ROUES CONÇUS POUR ÊTRE MONTÉS PAR LES ENFANTS, P.EX. TRICYCLES, TROTTINETTES, AUTOS À PÉDALES (À L'EXCL. DES CYCLES HABITUELS AVEC ROULEMENT À BILLES); LANDAUS ET POUSSETTES POUR POUPÉES</v>
      </c>
      <c r="C5578">
        <v>1832097</v>
      </c>
      <c r="D5578">
        <v>282</v>
      </c>
    </row>
    <row r="5579" spans="1:4" x14ac:dyDescent="0.25">
      <c r="A5579" t="str">
        <f>T("   950350")</f>
        <v xml:space="preserve">   950350</v>
      </c>
      <c r="B5579" t="str">
        <f>T("   INSTRUMENTS ET APPAREILS DE MUSIQUE-JOUETS")</f>
        <v xml:space="preserve">   INSTRUMENTS ET APPAREILS DE MUSIQUE-JOUETS</v>
      </c>
      <c r="C5579">
        <v>2816036</v>
      </c>
      <c r="D5579">
        <v>488</v>
      </c>
    </row>
    <row r="5580" spans="1:4" x14ac:dyDescent="0.25">
      <c r="A5580" t="str">
        <f>T("   950370")</f>
        <v xml:space="preserve">   950370</v>
      </c>
      <c r="B5580" t="str">
        <f>T("   Jouets présentés en assortiments ou en panoplies (sauf trains électriques, y.c. accessoires, sauf modèles réduits à assembler, cubes et jeux de construction et puzzles)")</f>
        <v xml:space="preserve">   Jouets présentés en assortiments ou en panoplies (sauf trains électriques, y.c. accessoires, sauf modèles réduits à assembler, cubes et jeux de construction et puzzles)</v>
      </c>
      <c r="C5580">
        <v>51858367</v>
      </c>
      <c r="D5580">
        <v>11826</v>
      </c>
    </row>
    <row r="5581" spans="1:4" x14ac:dyDescent="0.25">
      <c r="A5581" t="str">
        <f>T("   950380")</f>
        <v xml:space="preserve">   950380</v>
      </c>
      <c r="B5581" t="str">
        <f>T("   JOUETS ET MODÈLES, À MOTEUR (SAUF TRAINS ÉLECTRIQUES, Y.C. LES ACCESSOIRES, SAUF MODÈLES RÉDUITS À ASSEMBLER, JOUETS REPRÉSENTANT DES ANIMAUX OU DES CRÉATURES NON-HUMAINES)")</f>
        <v xml:space="preserve">   JOUETS ET MODÈLES, À MOTEUR (SAUF TRAINS ÉLECTRIQUES, Y.C. LES ACCESSOIRES, SAUF MODÈLES RÉDUITS À ASSEMBLER, JOUETS REPRÉSENTANT DES ANIMAUX OU DES CRÉATURES NON-HUMAINES)</v>
      </c>
      <c r="C5581">
        <v>28569682</v>
      </c>
      <c r="D5581">
        <v>8231</v>
      </c>
    </row>
    <row r="5582" spans="1:4" x14ac:dyDescent="0.25">
      <c r="A5582" t="str">
        <f>T("   950390")</f>
        <v xml:space="preserve">   950390</v>
      </c>
      <c r="B5582" t="str">
        <f>T("   Jouets, n.d.a.")</f>
        <v xml:space="preserve">   Jouets, n.d.a.</v>
      </c>
      <c r="C5582">
        <v>40073486</v>
      </c>
      <c r="D5582">
        <v>16901</v>
      </c>
    </row>
    <row r="5583" spans="1:4" x14ac:dyDescent="0.25">
      <c r="A5583" t="str">
        <f>T("   950420")</f>
        <v xml:space="preserve">   950420</v>
      </c>
      <c r="B5583" t="str">
        <f>T("   BILLARDS DE TOUT GENRE ET LEURS ACCESSOIRES")</f>
        <v xml:space="preserve">   BILLARDS DE TOUT GENRE ET LEURS ACCESSOIRES</v>
      </c>
      <c r="C5583">
        <v>1006243</v>
      </c>
      <c r="D5583">
        <v>720</v>
      </c>
    </row>
    <row r="5584" spans="1:4" x14ac:dyDescent="0.25">
      <c r="A5584" t="str">
        <f>T("   950490")</f>
        <v xml:space="preserve">   950490</v>
      </c>
      <c r="B5584" t="s">
        <v>510</v>
      </c>
      <c r="C5584">
        <v>8621282</v>
      </c>
      <c r="D5584">
        <v>2787</v>
      </c>
    </row>
    <row r="5585" spans="1:4" x14ac:dyDescent="0.25">
      <c r="A5585" t="str">
        <f>T("   950510")</f>
        <v xml:space="preserve">   950510</v>
      </c>
      <c r="B5585" t="str">
        <f>T("   Articles pour fêtes de Noël (sauf bougies et guirlandes électriques)")</f>
        <v xml:space="preserve">   Articles pour fêtes de Noël (sauf bougies et guirlandes électriques)</v>
      </c>
      <c r="C5585">
        <v>40556317</v>
      </c>
      <c r="D5585">
        <v>20245</v>
      </c>
    </row>
    <row r="5586" spans="1:4" x14ac:dyDescent="0.25">
      <c r="A5586" t="str">
        <f>T("   950590")</f>
        <v xml:space="preserve">   950590</v>
      </c>
      <c r="B5586" t="str">
        <f>T("   Articles pour fêtes, carnaval ou autres divertissements, y.c. les articles de magie et articles-surprises, n.d.a.")</f>
        <v xml:space="preserve">   Articles pour fêtes, carnaval ou autres divertissements, y.c. les articles de magie et articles-surprises, n.d.a.</v>
      </c>
      <c r="C5586">
        <v>312887</v>
      </c>
      <c r="D5586">
        <v>623</v>
      </c>
    </row>
    <row r="5587" spans="1:4" x14ac:dyDescent="0.25">
      <c r="A5587" t="str">
        <f>T("   950619")</f>
        <v xml:space="preserve">   950619</v>
      </c>
      <c r="B5587" t="str">
        <f>T("   MATÉRIEL POUR LA PRATIQUE DU SKI DE NEIGE (À L'EXCL. DES SKIS ET DES FIXATIONS POUR SKIS) [01/01/1988-31/12/1994: MATERIEL POUR LA PRATIQUE DU SKI DE NEIGE, (SAUF SKIS ET FIXATIONS)]")</f>
        <v xml:space="preserve">   MATÉRIEL POUR LA PRATIQUE DU SKI DE NEIGE (À L'EXCL. DES SKIS ET DES FIXATIONS POUR SKIS) [01/01/1988-31/12/1994: MATERIEL POUR LA PRATIQUE DU SKI DE NEIGE, (SAUF SKIS ET FIXATIONS)]</v>
      </c>
      <c r="C5587">
        <v>4762270</v>
      </c>
      <c r="D5587">
        <v>7360</v>
      </c>
    </row>
    <row r="5588" spans="1:4" x14ac:dyDescent="0.25">
      <c r="A5588" t="str">
        <f>T("   950640")</f>
        <v xml:space="preserve">   950640</v>
      </c>
      <c r="B5588" t="str">
        <f>T("   Articles et matériel pour le tennis de table")</f>
        <v xml:space="preserve">   Articles et matériel pour le tennis de table</v>
      </c>
      <c r="C5588">
        <v>650000</v>
      </c>
      <c r="D5588">
        <v>157</v>
      </c>
    </row>
    <row r="5589" spans="1:4" x14ac:dyDescent="0.25">
      <c r="A5589" t="str">
        <f>T("   950651")</f>
        <v xml:space="preserve">   950651</v>
      </c>
      <c r="B5589" t="str">
        <f>T("   Raquettes de tennis, cordées ou non (sauf raquettes de tennis de table)")</f>
        <v xml:space="preserve">   Raquettes de tennis, cordées ou non (sauf raquettes de tennis de table)</v>
      </c>
      <c r="C5589">
        <v>1441145</v>
      </c>
      <c r="D5589">
        <v>393</v>
      </c>
    </row>
    <row r="5590" spans="1:4" x14ac:dyDescent="0.25">
      <c r="A5590" t="str">
        <f>T("   950669")</f>
        <v xml:space="preserve">   950669</v>
      </c>
      <c r="B5590" t="str">
        <f>T("   Ballons et balles (autres que gonflables et autres que balles de golf ou de tennis de table)")</f>
        <v xml:space="preserve">   Ballons et balles (autres que gonflables et autres que balles de golf ou de tennis de table)</v>
      </c>
      <c r="C5590">
        <v>6709864</v>
      </c>
      <c r="D5590">
        <v>1757</v>
      </c>
    </row>
    <row r="5591" spans="1:4" x14ac:dyDescent="0.25">
      <c r="A5591" t="str">
        <f>T("   950691")</f>
        <v xml:space="preserve">   950691</v>
      </c>
      <c r="B5591" t="str">
        <f>T("   Articles et matériel pour la culture physique, la gymnastique ou l'athlétisme")</f>
        <v xml:space="preserve">   Articles et matériel pour la culture physique, la gymnastique ou l'athlétisme</v>
      </c>
      <c r="C5591">
        <v>1314544</v>
      </c>
      <c r="D5591">
        <v>274</v>
      </c>
    </row>
    <row r="5592" spans="1:4" x14ac:dyDescent="0.25">
      <c r="A5592" t="str">
        <f>T("   950699")</f>
        <v xml:space="preserve">   950699</v>
      </c>
      <c r="B5592" t="str">
        <f>T("   Articles et matériel pour le sport et les jeux de plein air, n.d.a.; piscines et pataugeoires")</f>
        <v xml:space="preserve">   Articles et matériel pour le sport et les jeux de plein air, n.d.a.; piscines et pataugeoires</v>
      </c>
      <c r="C5592">
        <v>26329774</v>
      </c>
      <c r="D5592">
        <v>13592</v>
      </c>
    </row>
    <row r="5593" spans="1:4" x14ac:dyDescent="0.25">
      <c r="A5593" t="str">
        <f>T("   960200")</f>
        <v xml:space="preserve">   960200</v>
      </c>
      <c r="B5593" t="s">
        <v>512</v>
      </c>
      <c r="C5593">
        <v>674571</v>
      </c>
      <c r="D5593">
        <v>11.7</v>
      </c>
    </row>
    <row r="5594" spans="1:4" x14ac:dyDescent="0.25">
      <c r="A5594" t="str">
        <f>T("   960310")</f>
        <v xml:space="preserve">   960310</v>
      </c>
      <c r="B5594" t="str">
        <f>T("   Balais et balayettes consistant en matières végétales en bottes liées")</f>
        <v xml:space="preserve">   Balais et balayettes consistant en matières végétales en bottes liées</v>
      </c>
      <c r="C5594">
        <v>26048500</v>
      </c>
      <c r="D5594">
        <v>29212</v>
      </c>
    </row>
    <row r="5595" spans="1:4" x14ac:dyDescent="0.25">
      <c r="A5595" t="str">
        <f>T("   960321")</f>
        <v xml:space="preserve">   960321</v>
      </c>
      <c r="B5595" t="str">
        <f>T("   Brosses à dent, y.c. brosses à prothèses dentaires")</f>
        <v xml:space="preserve">   Brosses à dent, y.c. brosses à prothèses dentaires</v>
      </c>
      <c r="C5595">
        <v>44575987</v>
      </c>
      <c r="D5595">
        <v>9031.7999999999993</v>
      </c>
    </row>
    <row r="5596" spans="1:4" x14ac:dyDescent="0.25">
      <c r="A5596" t="str">
        <f>T("   960329")</f>
        <v xml:space="preserve">   960329</v>
      </c>
      <c r="B5596" t="str">
        <f>T("   Brosses et pinceaux à barbe, à cheveux, à cils ou à ongles et autres brosses pour la toilette des personnes, sauf brosses à dent")</f>
        <v xml:space="preserve">   Brosses et pinceaux à barbe, à cheveux, à cils ou à ongles et autres brosses pour la toilette des personnes, sauf brosses à dent</v>
      </c>
      <c r="C5596">
        <v>3572989</v>
      </c>
      <c r="D5596">
        <v>3335</v>
      </c>
    </row>
    <row r="5597" spans="1:4" x14ac:dyDescent="0.25">
      <c r="A5597" t="str">
        <f>T("   960330")</f>
        <v xml:space="preserve">   960330</v>
      </c>
      <c r="B5597" t="str">
        <f>T("   Pinceaux et brosses pour artistes, pinceaux à écrire et pinceaux simil. pour l'application des produits cosmétiques")</f>
        <v xml:space="preserve">   Pinceaux et brosses pour artistes, pinceaux à écrire et pinceaux simil. pour l'application des produits cosmétiques</v>
      </c>
      <c r="C5597">
        <v>243243</v>
      </c>
      <c r="D5597">
        <v>3</v>
      </c>
    </row>
    <row r="5598" spans="1:4" x14ac:dyDescent="0.25">
      <c r="A5598" t="str">
        <f>T("   960340")</f>
        <v xml:space="preserve">   960340</v>
      </c>
      <c r="B5598" t="str">
        <f>T("   Brosses et pinceaux à peindre, à badigeonner, à vernir ou simil., sauf pinceaux pour artistes et pinceaux simil. du n° 9603.30; tampons et rouleaux à peindre")</f>
        <v xml:space="preserve">   Brosses et pinceaux à peindre, à badigeonner, à vernir ou simil., sauf pinceaux pour artistes et pinceaux simil. du n° 9603.30; tampons et rouleaux à peindre</v>
      </c>
      <c r="C5598">
        <v>758970</v>
      </c>
      <c r="D5598">
        <v>51</v>
      </c>
    </row>
    <row r="5599" spans="1:4" x14ac:dyDescent="0.25">
      <c r="A5599" t="str">
        <f>T("   960390")</f>
        <v xml:space="preserve">   960390</v>
      </c>
      <c r="B5599" t="str">
        <f>T("   ARTICLES DE BROSSERIE (SAUF DU N° 9603.10 À 9603.50), P.EX. TÊTES PRÉPARÉES POUR ARTICLES DE BROSSERIE ET RACLETTES EN CAOUTCHOUC OU EN MATIÈRES SOUPLES ANALOGUES")</f>
        <v xml:space="preserve">   ARTICLES DE BROSSERIE (SAUF DU N° 9603.10 À 9603.50), P.EX. TÊTES PRÉPARÉES POUR ARTICLES DE BROSSERIE ET RACLETTES EN CAOUTCHOUC OU EN MATIÈRES SOUPLES ANALOGUES</v>
      </c>
      <c r="C5599">
        <v>17826950</v>
      </c>
      <c r="D5599">
        <v>7444</v>
      </c>
    </row>
    <row r="5600" spans="1:4" x14ac:dyDescent="0.25">
      <c r="A5600" t="str">
        <f>T("   960400")</f>
        <v xml:space="preserve">   960400</v>
      </c>
      <c r="B5600" t="str">
        <f>T("   Tamis et cribles, à main (sauf simples égouttoirs et passoires)")</f>
        <v xml:space="preserve">   Tamis et cribles, à main (sauf simples égouttoirs et passoires)</v>
      </c>
      <c r="C5600">
        <v>13340269</v>
      </c>
      <c r="D5600">
        <v>759</v>
      </c>
    </row>
    <row r="5601" spans="1:4" x14ac:dyDescent="0.25">
      <c r="A5601" t="str">
        <f>T("   960500")</f>
        <v xml:space="preserve">   960500</v>
      </c>
      <c r="B5601" t="str">
        <f>T("   Assortiments de voyage pour la toilette des personnes, la couture ou le nettoyage des chaussures ou des vêtements (sauf trousses de manucure)")</f>
        <v xml:space="preserve">   Assortiments de voyage pour la toilette des personnes, la couture ou le nettoyage des chaussures ou des vêtements (sauf trousses de manucure)</v>
      </c>
      <c r="C5601">
        <v>10928</v>
      </c>
      <c r="D5601">
        <v>114</v>
      </c>
    </row>
    <row r="5602" spans="1:4" x14ac:dyDescent="0.25">
      <c r="A5602" t="str">
        <f>T("   960621")</f>
        <v xml:space="preserve">   960621</v>
      </c>
      <c r="B5602" t="str">
        <f>T("   Boutons en matières plastiques (non recouverts de matières textiles) (sauf boutons-pressions et boutons de manchette)")</f>
        <v xml:space="preserve">   Boutons en matières plastiques (non recouverts de matières textiles) (sauf boutons-pressions et boutons de manchette)</v>
      </c>
      <c r="C5602">
        <v>6198822</v>
      </c>
      <c r="D5602">
        <v>7423</v>
      </c>
    </row>
    <row r="5603" spans="1:4" x14ac:dyDescent="0.25">
      <c r="A5603" t="str">
        <f>T("   960622")</f>
        <v xml:space="preserve">   960622</v>
      </c>
      <c r="B5603" t="str">
        <f>T("   Boutons en métaux communs (non recouverts de matières textiles) (sauf boutons-pressions et boutons de manchette)")</f>
        <v xml:space="preserve">   Boutons en métaux communs (non recouverts de matières textiles) (sauf boutons-pressions et boutons de manchette)</v>
      </c>
      <c r="C5603">
        <v>959669</v>
      </c>
      <c r="D5603">
        <v>375</v>
      </c>
    </row>
    <row r="5604" spans="1:4" x14ac:dyDescent="0.25">
      <c r="A5604" t="str">
        <f>T("   960629")</f>
        <v xml:space="preserve">   960629</v>
      </c>
      <c r="B5604" t="str">
        <f>T("   Boutons (sauf boutons en matières plastiques ou en métaux communs, non recouverts de matières textiles, boutons-pressions et boutons de manchette)")</f>
        <v xml:space="preserve">   Boutons (sauf boutons en matières plastiques ou en métaux communs, non recouverts de matières textiles, boutons-pressions et boutons de manchette)</v>
      </c>
      <c r="C5604">
        <v>1357838</v>
      </c>
      <c r="D5604">
        <v>3138</v>
      </c>
    </row>
    <row r="5605" spans="1:4" x14ac:dyDescent="0.25">
      <c r="A5605" t="str">
        <f>T("   960630")</f>
        <v xml:space="preserve">   960630</v>
      </c>
      <c r="B5605" t="str">
        <f>T("   Formes pour boutons et autres parties de boutons; ébauches de boutons")</f>
        <v xml:space="preserve">   Formes pour boutons et autres parties de boutons; ébauches de boutons</v>
      </c>
      <c r="C5605">
        <v>999027</v>
      </c>
      <c r="D5605">
        <v>556</v>
      </c>
    </row>
    <row r="5606" spans="1:4" x14ac:dyDescent="0.25">
      <c r="A5606" t="str">
        <f>T("   960810")</f>
        <v xml:space="preserve">   960810</v>
      </c>
      <c r="B5606" t="str">
        <f>T("   Stylos et crayons à bille")</f>
        <v xml:space="preserve">   Stylos et crayons à bille</v>
      </c>
      <c r="C5606">
        <v>40687974</v>
      </c>
      <c r="D5606">
        <v>22844</v>
      </c>
    </row>
    <row r="5607" spans="1:4" x14ac:dyDescent="0.25">
      <c r="A5607" t="str">
        <f>T("   960820")</f>
        <v xml:space="preserve">   960820</v>
      </c>
      <c r="B5607" t="str">
        <f>T("   Stylos et marqueurs à mèche feutre ou à autres pointes poreuses")</f>
        <v xml:space="preserve">   Stylos et marqueurs à mèche feutre ou à autres pointes poreuses</v>
      </c>
      <c r="C5607">
        <v>44545048</v>
      </c>
      <c r="D5607">
        <v>31063</v>
      </c>
    </row>
    <row r="5608" spans="1:4" x14ac:dyDescent="0.25">
      <c r="A5608" t="str">
        <f>T("   960839")</f>
        <v xml:space="preserve">   960839</v>
      </c>
      <c r="B5608" t="str">
        <f>T("   Stylos à plume et autres stylos (autres qu'à dessiner à l'encre de Chine)")</f>
        <v xml:space="preserve">   Stylos à plume et autres stylos (autres qu'à dessiner à l'encre de Chine)</v>
      </c>
      <c r="C5608">
        <v>8301823</v>
      </c>
      <c r="D5608">
        <v>5887.59</v>
      </c>
    </row>
    <row r="5609" spans="1:4" x14ac:dyDescent="0.25">
      <c r="A5609" t="str">
        <f>T("   960840")</f>
        <v xml:space="preserve">   960840</v>
      </c>
      <c r="B5609" t="str">
        <f>T("   Porte-mine")</f>
        <v xml:space="preserve">   Porte-mine</v>
      </c>
      <c r="C5609">
        <v>126600</v>
      </c>
      <c r="D5609">
        <v>24</v>
      </c>
    </row>
    <row r="5610" spans="1:4" x14ac:dyDescent="0.25">
      <c r="A5610" t="str">
        <f>T("   960891")</f>
        <v xml:space="preserve">   960891</v>
      </c>
      <c r="B5610" t="str">
        <f>T("   Plumes à écrire et becs pour plumes")</f>
        <v xml:space="preserve">   Plumes à écrire et becs pour plumes</v>
      </c>
      <c r="C5610">
        <v>174925</v>
      </c>
      <c r="D5610">
        <v>25</v>
      </c>
    </row>
    <row r="5611" spans="1:4" x14ac:dyDescent="0.25">
      <c r="A5611" t="str">
        <f>T("   960899")</f>
        <v xml:space="preserve">   960899</v>
      </c>
      <c r="B5611" t="str">
        <f>T("   PARTIES DE STYLOS ET CRAYONS À BILLE, STYLOS ET MARQUEURS À MÈCHE FEUTRE OU À AUTRES POINTES POREUSES, STYLOS ET PORTE-MINE, N.D.A.; PORTE-PLUME, PORTE-CRAYON ET ARTICLES SIMIL., STYLETS POUR DUPLICATEURS")</f>
        <v xml:space="preserve">   PARTIES DE STYLOS ET CRAYONS À BILLE, STYLOS ET MARQUEURS À MÈCHE FEUTRE OU À AUTRES POINTES POREUSES, STYLOS ET PORTE-MINE, N.D.A.; PORTE-PLUME, PORTE-CRAYON ET ARTICLES SIMIL., STYLETS POUR DUPLICATEURS</v>
      </c>
      <c r="C5611">
        <v>101834</v>
      </c>
      <c r="D5611">
        <v>4</v>
      </c>
    </row>
    <row r="5612" spans="1:4" x14ac:dyDescent="0.25">
      <c r="A5612" t="str">
        <f>T("   960910")</f>
        <v xml:space="preserve">   960910</v>
      </c>
      <c r="B5612" t="str">
        <f>T("   Crayons à gaine")</f>
        <v xml:space="preserve">   Crayons à gaine</v>
      </c>
      <c r="C5612">
        <v>4442798</v>
      </c>
      <c r="D5612">
        <v>1062</v>
      </c>
    </row>
    <row r="5613" spans="1:4" x14ac:dyDescent="0.25">
      <c r="A5613" t="str">
        <f>T("   960990")</f>
        <v xml:space="preserve">   960990</v>
      </c>
      <c r="B5613" t="str">
        <f>T("   Crayons (sauf crayons à gaine), pastels, fusains, craies à écrire ou à dessiner et craies de tailleurs")</f>
        <v xml:space="preserve">   Crayons (sauf crayons à gaine), pastels, fusains, craies à écrire ou à dessiner et craies de tailleurs</v>
      </c>
      <c r="C5613">
        <v>79386159</v>
      </c>
      <c r="D5613">
        <v>457785</v>
      </c>
    </row>
    <row r="5614" spans="1:4" x14ac:dyDescent="0.25">
      <c r="A5614" t="str">
        <f>T("   961000")</f>
        <v xml:space="preserve">   961000</v>
      </c>
      <c r="B5614" t="str">
        <f>T("   Ardoises et tableaux pour l'écriture ou le dessin, même encadrés")</f>
        <v xml:space="preserve">   Ardoises et tableaux pour l'écriture ou le dessin, même encadrés</v>
      </c>
      <c r="C5614">
        <v>9038103</v>
      </c>
      <c r="D5614">
        <v>13262</v>
      </c>
    </row>
    <row r="5615" spans="1:4" x14ac:dyDescent="0.25">
      <c r="A5615" t="str">
        <f>T("   961100")</f>
        <v xml:space="preserve">   961100</v>
      </c>
      <c r="B5615" t="str">
        <f>T("   Dateurs, cachets, numéroteurs, timbres et articles simil., y.c. les appareils pour l'impression d'étiquettes, à main; composteurs et imprimeries comportant des composteurs, à main")</f>
        <v xml:space="preserve">   Dateurs, cachets, numéroteurs, timbres et articles simil., y.c. les appareils pour l'impression d'étiquettes, à main; composteurs et imprimeries comportant des composteurs, à main</v>
      </c>
      <c r="C5615">
        <v>6848556</v>
      </c>
      <c r="D5615">
        <v>2187</v>
      </c>
    </row>
    <row r="5616" spans="1:4" x14ac:dyDescent="0.25">
      <c r="A5616" t="str">
        <f>T("   961210")</f>
        <v xml:space="preserve">   961210</v>
      </c>
      <c r="B5616" t="str">
        <f>T("   Rubans encreurs pour machines à écrire et rubans encreurs simil., encrés ou autrement préparés en vue de laisser des empreintes, même montés sur bobines ou en cartouches")</f>
        <v xml:space="preserve">   Rubans encreurs pour machines à écrire et rubans encreurs simil., encrés ou autrement préparés en vue de laisser des empreintes, même montés sur bobines ou en cartouches</v>
      </c>
      <c r="C5616">
        <v>9759541</v>
      </c>
      <c r="D5616">
        <v>396.5</v>
      </c>
    </row>
    <row r="5617" spans="1:4" x14ac:dyDescent="0.25">
      <c r="A5617" t="str">
        <f>T("   961380")</f>
        <v xml:space="preserve">   961380</v>
      </c>
      <c r="B5617" t="str">
        <f>T("   Briquets et allumeurs (à l'excl. des briquets de poche à gaz, des mèches et cordeaux détonants pour poudres propulsives et explosifs)")</f>
        <v xml:space="preserve">   Briquets et allumeurs (à l'excl. des briquets de poche à gaz, des mèches et cordeaux détonants pour poudres propulsives et explosifs)</v>
      </c>
      <c r="C5617">
        <v>287566</v>
      </c>
      <c r="D5617">
        <v>112</v>
      </c>
    </row>
    <row r="5618" spans="1:4" x14ac:dyDescent="0.25">
      <c r="A5618" t="str">
        <f>T("   961511")</f>
        <v xml:space="preserve">   961511</v>
      </c>
      <c r="B5618" t="str">
        <f>T("   PEIGNÉS À COIFFER, PEIGNÉS DE COIFFURE, BARRETTES ET ARTICLES SIMIL., EN CAOUTCHOUC DURCI OU EN MATIÈRES PLASTIQUES")</f>
        <v xml:space="preserve">   PEIGNÉS À COIFFER, PEIGNÉS DE COIFFURE, BARRETTES ET ARTICLES SIMIL., EN CAOUTCHOUC DURCI OU EN MATIÈRES PLASTIQUES</v>
      </c>
      <c r="C5618">
        <v>52477</v>
      </c>
      <c r="D5618">
        <v>5</v>
      </c>
    </row>
    <row r="5619" spans="1:4" x14ac:dyDescent="0.25">
      <c r="A5619" t="str">
        <f>T("   961519")</f>
        <v xml:space="preserve">   961519</v>
      </c>
      <c r="B5619" t="str">
        <f>T("   PEIGNÉS À COIFFER, PEIGNÉS DE COIFFURE, BARRETTES ET ARTICLES SIMIL., EN MATIÈRES (AUTRES QUE CAOUTCHOUC OU MATIÈRES PLASTIQUES)")</f>
        <v xml:space="preserve">   PEIGNÉS À COIFFER, PEIGNÉS DE COIFFURE, BARRETTES ET ARTICLES SIMIL., EN MATIÈRES (AUTRES QUE CAOUTCHOUC OU MATIÈRES PLASTIQUES)</v>
      </c>
      <c r="C5619">
        <v>2311604</v>
      </c>
      <c r="D5619">
        <v>152</v>
      </c>
    </row>
    <row r="5620" spans="1:4" x14ac:dyDescent="0.25">
      <c r="A5620" t="str">
        <f>T("   961590")</f>
        <v xml:space="preserve">   961590</v>
      </c>
      <c r="B5620" t="str">
        <f>T("   Epingles à cheveux; pince-guiches, ondulateurs, bigoudis et articles pour la coiffure (autres que ceux du n° 8516); parties")</f>
        <v xml:space="preserve">   Epingles à cheveux; pince-guiches, ondulateurs, bigoudis et articles pour la coiffure (autres que ceux du n° 8516); parties</v>
      </c>
      <c r="C5620">
        <v>5078443</v>
      </c>
      <c r="D5620">
        <v>568</v>
      </c>
    </row>
    <row r="5621" spans="1:4" x14ac:dyDescent="0.25">
      <c r="A5621" t="str">
        <f>T("   961610")</f>
        <v xml:space="preserve">   961610</v>
      </c>
      <c r="B5621" t="str">
        <f>T("   VAPORISATEURS DE TOILETTE, LEURS MONTURES ET TÊTES DE MONTURES")</f>
        <v xml:space="preserve">   VAPORISATEURS DE TOILETTE, LEURS MONTURES ET TÊTES DE MONTURES</v>
      </c>
      <c r="C5621">
        <v>28862</v>
      </c>
      <c r="D5621">
        <v>58</v>
      </c>
    </row>
    <row r="5622" spans="1:4" x14ac:dyDescent="0.25">
      <c r="A5622" t="str">
        <f>T("   961800")</f>
        <v xml:space="preserve">   961800</v>
      </c>
      <c r="B5622" t="str">
        <f>T("   Mannequins et articles simil.; automates et scènes animées pour étalages (à l'excl. des modèles utilisés pour l'enseignement, des poupées présentant des caractères de jouet et des marchandises présentées sur ces mannequins)")</f>
        <v xml:space="preserve">   Mannequins et articles simil.; automates et scènes animées pour étalages (à l'excl. des modèles utilisés pour l'enseignement, des poupées présentant des caractères de jouet et des marchandises présentées sur ces mannequins)</v>
      </c>
      <c r="C5622">
        <v>180000</v>
      </c>
      <c r="D5622">
        <v>112</v>
      </c>
    </row>
    <row r="5623" spans="1:4" x14ac:dyDescent="0.25">
      <c r="A5623" t="str">
        <f>T("   970110")</f>
        <v xml:space="preserve">   970110</v>
      </c>
      <c r="B5623" t="str">
        <f>T("   Tableaux, p.ex. peintures à l'huile, aquarelles et pastels, et dessins, faits entièrement à la main (à l'excl. des dessins du n° 4906 et des articles manufacturés décorés à la main)")</f>
        <v xml:space="preserve">   Tableaux, p.ex. peintures à l'huile, aquarelles et pastels, et dessins, faits entièrement à la main (à l'excl. des dessins du n° 4906 et des articles manufacturés décorés à la main)</v>
      </c>
      <c r="C5623">
        <v>4033399</v>
      </c>
      <c r="D5623">
        <v>2024</v>
      </c>
    </row>
    <row r="5624" spans="1:4" x14ac:dyDescent="0.25">
      <c r="A5624" t="str">
        <f>T("   970190")</f>
        <v xml:space="preserve">   970190</v>
      </c>
      <c r="B5624" t="str">
        <f>T("   Collages et tableautins simil.")</f>
        <v xml:space="preserve">   Collages et tableautins simil.</v>
      </c>
      <c r="C5624">
        <v>249586</v>
      </c>
      <c r="D5624">
        <v>85</v>
      </c>
    </row>
    <row r="5625" spans="1:4" x14ac:dyDescent="0.25">
      <c r="A5625" t="str">
        <f>T("GA")</f>
        <v>GA</v>
      </c>
      <c r="B5625" t="str">
        <f>T("Gabon")</f>
        <v>Gabon</v>
      </c>
    </row>
    <row r="5626" spans="1:4" x14ac:dyDescent="0.25">
      <c r="A5626" t="str">
        <f>T("   ZZ_Total_Produit_SH6")</f>
        <v xml:space="preserve">   ZZ_Total_Produit_SH6</v>
      </c>
      <c r="B5626" t="str">
        <f>T("   ZZ_Total_Produit_SH6")</f>
        <v xml:space="preserve">   ZZ_Total_Produit_SH6</v>
      </c>
      <c r="C5626">
        <v>35030461</v>
      </c>
      <c r="D5626">
        <v>55802</v>
      </c>
    </row>
    <row r="5627" spans="1:4" x14ac:dyDescent="0.25">
      <c r="A5627" t="str">
        <f>T("   392510")</f>
        <v xml:space="preserve">   392510</v>
      </c>
      <c r="B5627" t="str">
        <f>T("   Réservoirs, foudres, cuves et récipients analogues, en matières plastiques, d'une contenance &gt; 300 l")</f>
        <v xml:space="preserve">   Réservoirs, foudres, cuves et récipients analogues, en matières plastiques, d'une contenance &gt; 300 l</v>
      </c>
      <c r="C5627">
        <v>50000</v>
      </c>
      <c r="D5627">
        <v>250</v>
      </c>
    </row>
    <row r="5628" spans="1:4" x14ac:dyDescent="0.25">
      <c r="A5628" t="str">
        <f>T("   440799")</f>
        <v xml:space="preserve">   440799</v>
      </c>
      <c r="B5628" t="s">
        <v>169</v>
      </c>
      <c r="C5628">
        <v>60000</v>
      </c>
      <c r="D5628">
        <v>1000</v>
      </c>
    </row>
    <row r="5629" spans="1:4" x14ac:dyDescent="0.25">
      <c r="A5629" t="str">
        <f>T("   441890")</f>
        <v xml:space="preserve">   441890</v>
      </c>
      <c r="B5629" t="s">
        <v>182</v>
      </c>
      <c r="C5629">
        <v>14050000</v>
      </c>
      <c r="D5629">
        <v>18350</v>
      </c>
    </row>
    <row r="5630" spans="1:4" x14ac:dyDescent="0.25">
      <c r="A5630" t="str">
        <f>T("   620520")</f>
        <v xml:space="preserve">   620520</v>
      </c>
      <c r="B5630" t="str">
        <f>T("   Chemises et chemisettes, de coton, pour hommes ou garçonnets (autres qu'en bonneterie et sauf chemises de nuit et gilets de corps)")</f>
        <v xml:space="preserve">   Chemises et chemisettes, de coton, pour hommes ou garçonnets (autres qu'en bonneterie et sauf chemises de nuit et gilets de corps)</v>
      </c>
      <c r="C5630">
        <v>150000</v>
      </c>
      <c r="D5630">
        <v>100</v>
      </c>
    </row>
    <row r="5631" spans="1:4" x14ac:dyDescent="0.25">
      <c r="A5631" t="str">
        <f>T("   620590")</f>
        <v xml:space="preserve">   620590</v>
      </c>
      <c r="B5631"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5631">
        <v>2400000</v>
      </c>
      <c r="D5631">
        <v>2250</v>
      </c>
    </row>
    <row r="5632" spans="1:4" x14ac:dyDescent="0.25">
      <c r="A5632" t="str">
        <f>T("   630900")</f>
        <v xml:space="preserve">   630900</v>
      </c>
      <c r="B5632" t="s">
        <v>280</v>
      </c>
      <c r="C5632">
        <v>1632500</v>
      </c>
      <c r="D5632">
        <v>2000</v>
      </c>
    </row>
    <row r="5633" spans="1:4" x14ac:dyDescent="0.25">
      <c r="A5633" t="str">
        <f>T("   711790")</f>
        <v xml:space="preserve">   711790</v>
      </c>
      <c r="B5633" t="str">
        <f>T("   Bijouterie de fantaisie (autre qu'en métaux communs, même argentés, dorés ou platinés)")</f>
        <v xml:space="preserve">   Bijouterie de fantaisie (autre qu'en métaux communs, même argentés, dorés ou platinés)</v>
      </c>
      <c r="C5633">
        <v>5217461</v>
      </c>
      <c r="D5633">
        <v>2405</v>
      </c>
    </row>
    <row r="5634" spans="1:4" x14ac:dyDescent="0.25">
      <c r="A5634" t="str">
        <f>T("   732394")</f>
        <v xml:space="preserve">   732394</v>
      </c>
      <c r="B5634" t="s">
        <v>361</v>
      </c>
      <c r="C5634">
        <v>1850000</v>
      </c>
      <c r="D5634">
        <v>2000</v>
      </c>
    </row>
    <row r="5635" spans="1:4" x14ac:dyDescent="0.25">
      <c r="A5635" t="str">
        <f>T("   790700")</f>
        <v xml:space="preserve">   790700</v>
      </c>
      <c r="B5635" t="str">
        <f>T("   Ouvrages en zinc, n.d.a.")</f>
        <v xml:space="preserve">   Ouvrages en zinc, n.d.a.</v>
      </c>
      <c r="C5635">
        <v>100000</v>
      </c>
      <c r="D5635">
        <v>47</v>
      </c>
    </row>
    <row r="5636" spans="1:4" x14ac:dyDescent="0.25">
      <c r="A5636" t="str">
        <f>T("   841829")</f>
        <v xml:space="preserve">   841829</v>
      </c>
      <c r="B5636" t="str">
        <f>T("   Réfrigérateurs ménagers à absorption, non-électriques")</f>
        <v xml:space="preserve">   Réfrigérateurs ménagers à absorption, non-électriques</v>
      </c>
      <c r="C5636">
        <v>700000</v>
      </c>
      <c r="D5636">
        <v>300</v>
      </c>
    </row>
    <row r="5637" spans="1:4" x14ac:dyDescent="0.25">
      <c r="A5637" t="str">
        <f>T("   850212")</f>
        <v xml:space="preserve">   850212</v>
      </c>
      <c r="B5637" t="str">
        <f>T("   GROUPES ÉLECTROGÈNES À MOTEUR À PISTON À ALLUMAGE PAR COMPRESSION 'MOTEURS DIESEL OU SEMI-DIESEL', PUISSANCE &gt; 75 KVA MAIS &lt;= 375 KVA")</f>
        <v xml:space="preserve">   GROUPES ÉLECTROGÈNES À MOTEUR À PISTON À ALLUMAGE PAR COMPRESSION 'MOTEURS DIESEL OU SEMI-DIESEL', PUISSANCE &gt; 75 KVA MAIS &lt;= 375 KVA</v>
      </c>
      <c r="C5637">
        <v>400000</v>
      </c>
      <c r="D5637">
        <v>600</v>
      </c>
    </row>
    <row r="5638" spans="1:4" x14ac:dyDescent="0.25">
      <c r="A5638" t="str">
        <f>T("   901580")</f>
        <v xml:space="preserve">   901580</v>
      </c>
      <c r="B5638" t="s">
        <v>496</v>
      </c>
      <c r="C5638">
        <v>500000</v>
      </c>
      <c r="D5638">
        <v>16800</v>
      </c>
    </row>
    <row r="5639" spans="1:4" x14ac:dyDescent="0.25">
      <c r="A5639" t="str">
        <f>T("   940350")</f>
        <v xml:space="preserve">   940350</v>
      </c>
      <c r="B5639" t="str">
        <f>T("   Meubles pour chambres à coucher, en bois (sauf sièges)")</f>
        <v xml:space="preserve">   Meubles pour chambres à coucher, en bois (sauf sièges)</v>
      </c>
      <c r="C5639">
        <v>4900000</v>
      </c>
      <c r="D5639">
        <v>5300</v>
      </c>
    </row>
    <row r="5640" spans="1:4" x14ac:dyDescent="0.25">
      <c r="A5640" t="str">
        <f>T("   940380")</f>
        <v xml:space="preserve">   940380</v>
      </c>
      <c r="B5640" t="str">
        <f>T("   Meubles en rotin, osier, bambou ou autres matières (sauf métal, bois et matières plastiques)")</f>
        <v xml:space="preserve">   Meubles en rotin, osier, bambou ou autres matières (sauf métal, bois et matières plastiques)</v>
      </c>
      <c r="C5640">
        <v>3020500</v>
      </c>
      <c r="D5640">
        <v>4400</v>
      </c>
    </row>
    <row r="5641" spans="1:4" x14ac:dyDescent="0.25">
      <c r="A5641" t="str">
        <f>T("GB")</f>
        <v>GB</v>
      </c>
      <c r="B5641" t="str">
        <f>T("Royaume-Uni")</f>
        <v>Royaume-Uni</v>
      </c>
    </row>
    <row r="5642" spans="1:4" x14ac:dyDescent="0.25">
      <c r="A5642" t="str">
        <f>T("   ZZ_Total_Produit_SH6")</f>
        <v xml:space="preserve">   ZZ_Total_Produit_SH6</v>
      </c>
      <c r="B5642" t="str">
        <f>T("   ZZ_Total_Produit_SH6")</f>
        <v xml:space="preserve">   ZZ_Total_Produit_SH6</v>
      </c>
      <c r="C5642">
        <v>51403572887</v>
      </c>
      <c r="D5642">
        <v>148561711.28</v>
      </c>
    </row>
    <row r="5643" spans="1:4" x14ac:dyDescent="0.25">
      <c r="A5643" t="str">
        <f>T("   020220")</f>
        <v xml:space="preserve">   020220</v>
      </c>
      <c r="B5643" t="str">
        <f>T("   MORCEAUX NON-DÉSOSSÉS, DE BOVINS, CONGELÉS (À L'EXCL. DES CARCASSES ET DES DEMI-CARCASSES)")</f>
        <v xml:space="preserve">   MORCEAUX NON-DÉSOSSÉS, DE BOVINS, CONGELÉS (À L'EXCL. DES CARCASSES ET DES DEMI-CARCASSES)</v>
      </c>
      <c r="C5643">
        <v>34832788</v>
      </c>
      <c r="D5643">
        <v>56000</v>
      </c>
    </row>
    <row r="5644" spans="1:4" x14ac:dyDescent="0.25">
      <c r="A5644" t="str">
        <f>T("   020230")</f>
        <v xml:space="preserve">   020230</v>
      </c>
      <c r="B5644" t="str">
        <f>T("   Viandes désossées de bovins, congelées")</f>
        <v xml:space="preserve">   Viandes désossées de bovins, congelées</v>
      </c>
      <c r="C5644">
        <v>17416394</v>
      </c>
      <c r="D5644">
        <v>28000</v>
      </c>
    </row>
    <row r="5645" spans="1:4" x14ac:dyDescent="0.25">
      <c r="A5645" t="str">
        <f>T("   020712")</f>
        <v xml:space="preserve">   020712</v>
      </c>
      <c r="B5645" t="str">
        <f>T("   COQS ET POULES [DES ESPÈCES DOMESTIQUES], NON-DÉCOUPÉS EN MORCEAUX, CONGELÉS")</f>
        <v xml:space="preserve">   COQS ET POULES [DES ESPÈCES DOMESTIQUES], NON-DÉCOUPÉS EN MORCEAUX, CONGELÉS</v>
      </c>
      <c r="C5645">
        <v>155626050</v>
      </c>
      <c r="D5645">
        <v>250201</v>
      </c>
    </row>
    <row r="5646" spans="1:4" x14ac:dyDescent="0.25">
      <c r="A5646" t="str">
        <f>T("   020714")</f>
        <v xml:space="preserve">   020714</v>
      </c>
      <c r="B5646" t="str">
        <f>T("   Morceaux et abats comestibles de coqs et de poules [des espèces domestiques], congelés")</f>
        <v xml:space="preserve">   Morceaux et abats comestibles de coqs et de poules [des espèces domestiques], congelés</v>
      </c>
      <c r="C5646">
        <v>5844741793</v>
      </c>
      <c r="D5646">
        <v>9398628</v>
      </c>
    </row>
    <row r="5647" spans="1:4" x14ac:dyDescent="0.25">
      <c r="A5647" t="str">
        <f>T("   020727")</f>
        <v xml:space="preserve">   020727</v>
      </c>
      <c r="B5647" t="str">
        <f>T("   Morceaux et abats comestibles de dindes et dindons [des espèces domestiques], congelés")</f>
        <v xml:space="preserve">   Morceaux et abats comestibles de dindes et dindons [des espèces domestiques], congelés</v>
      </c>
      <c r="C5647">
        <v>583750985</v>
      </c>
      <c r="D5647">
        <v>943360</v>
      </c>
    </row>
    <row r="5648" spans="1:4" x14ac:dyDescent="0.25">
      <c r="A5648" t="str">
        <f>T("   030371")</f>
        <v xml:space="preserve">   030371</v>
      </c>
      <c r="B5648" t="str">
        <f>T("   Sardines [Sardina pilchardus, Sardinops spp.], sardinelles [Sardinella spp.], sprats ou esprots [Sprattus sprattus], congelés")</f>
        <v xml:space="preserve">   Sardines [Sardina pilchardus, Sardinops spp.], sardinelles [Sardinella spp.], sprats ou esprots [Sprattus sprattus], congelés</v>
      </c>
      <c r="C5648">
        <v>112707545</v>
      </c>
      <c r="D5648">
        <v>515329</v>
      </c>
    </row>
    <row r="5649" spans="1:4" x14ac:dyDescent="0.25">
      <c r="A5649" t="str">
        <f>T("   030374")</f>
        <v xml:space="preserve">   030374</v>
      </c>
      <c r="B5649" t="str">
        <f>T("   Maquereaux [Scomber scombrus, Scomber australasicus, Scomber japonicus], congelés")</f>
        <v xml:space="preserve">   Maquereaux [Scomber scombrus, Scomber australasicus, Scomber japonicus], congelés</v>
      </c>
      <c r="C5649">
        <v>413157447</v>
      </c>
      <c r="D5649">
        <v>1855312</v>
      </c>
    </row>
    <row r="5650" spans="1:4" x14ac:dyDescent="0.25">
      <c r="A5650" t="str">
        <f>T("   030379")</f>
        <v xml:space="preserve">   030379</v>
      </c>
      <c r="B5650" t="s">
        <v>15</v>
      </c>
      <c r="C5650">
        <v>2761123750</v>
      </c>
      <c r="D5650">
        <v>12254006</v>
      </c>
    </row>
    <row r="5651" spans="1:4" x14ac:dyDescent="0.25">
      <c r="A5651" t="str">
        <f>T("   030613")</f>
        <v xml:space="preserve">   030613</v>
      </c>
      <c r="B5651" t="str">
        <f>T("   CREVETTES, MÊME DÉCORTIQUÉES, CONGELÉES, Y.C. LES CREVETTES NON-DÉCORTIQUÉES PRÉALABLEMENT CUITES À L'EAU OU À LA VAPEUR")</f>
        <v xml:space="preserve">   CREVETTES, MÊME DÉCORTIQUÉES, CONGELÉES, Y.C. LES CREVETTES NON-DÉCORTIQUÉES PRÉALABLEMENT CUITES À L'EAU OU À LA VAPEUR</v>
      </c>
      <c r="C5651">
        <v>10800714</v>
      </c>
      <c r="D5651">
        <v>24000</v>
      </c>
    </row>
    <row r="5652" spans="1:4" x14ac:dyDescent="0.25">
      <c r="A5652" t="str">
        <f>T("   040229")</f>
        <v xml:space="preserve">   040229</v>
      </c>
      <c r="B5652" t="str">
        <f>T("   Lait et crème de lait, en poudre, en granulés ou sous d'autres formes solides, d'une teneur en poids de matières grasses &gt; 1,5%, avec addition de sucre ou d'autres édulcorants")</f>
        <v xml:space="preserve">   Lait et crème de lait, en poudre, en granulés ou sous d'autres formes solides, d'une teneur en poids de matières grasses &gt; 1,5%, avec addition de sucre ou d'autres édulcorants</v>
      </c>
      <c r="C5652">
        <v>42803</v>
      </c>
      <c r="D5652">
        <v>2</v>
      </c>
    </row>
    <row r="5653" spans="1:4" x14ac:dyDescent="0.25">
      <c r="A5653" t="str">
        <f>T("   040510")</f>
        <v xml:space="preserve">   040510</v>
      </c>
      <c r="B5653" t="str">
        <f>T("   Beurre (sauf beurre déshydraté et ghee)")</f>
        <v xml:space="preserve">   Beurre (sauf beurre déshydraté et ghee)</v>
      </c>
      <c r="C5653">
        <v>234336</v>
      </c>
      <c r="D5653">
        <v>236</v>
      </c>
    </row>
    <row r="5654" spans="1:4" x14ac:dyDescent="0.25">
      <c r="A5654" t="str">
        <f>T("   050400")</f>
        <v xml:space="preserve">   050400</v>
      </c>
      <c r="B5654" t="str">
        <f>T("   Boyaux, vessies et estomacs d'animaux (autres que ceux de poissons), entiers ou en morceaux, à l'état frais, réfrigéré, congelé, salé ou en saumure, séché ou fumé")</f>
        <v xml:space="preserve">   Boyaux, vessies et estomacs d'animaux (autres que ceux de poissons), entiers ou en morceaux, à l'état frais, réfrigéré, congelé, salé ou en saumure, séché ou fumé</v>
      </c>
      <c r="C5654">
        <v>81499532</v>
      </c>
      <c r="D5654">
        <v>107786</v>
      </c>
    </row>
    <row r="5655" spans="1:4" x14ac:dyDescent="0.25">
      <c r="A5655" t="str">
        <f>T("   071010")</f>
        <v xml:space="preserve">   071010</v>
      </c>
      <c r="B5655" t="str">
        <f>T("   Pommes de terre, non cuites ou cuites à l'eau ou à la vapeur, congelées")</f>
        <v xml:space="preserve">   Pommes de terre, non cuites ou cuites à l'eau ou à la vapeur, congelées</v>
      </c>
      <c r="C5655">
        <v>27832808</v>
      </c>
      <c r="D5655">
        <v>168680</v>
      </c>
    </row>
    <row r="5656" spans="1:4" x14ac:dyDescent="0.25">
      <c r="A5656" t="str">
        <f>T("   071390")</f>
        <v xml:space="preserve">   071390</v>
      </c>
      <c r="B5656" t="str">
        <f>T("   Légumes à cosse secs, écossés, même décortiqués ou cassés (à l'excl. des pois, des pois chiches, des haricots, des lentilles, des fèves et des féveroles)")</f>
        <v xml:space="preserve">   Légumes à cosse secs, écossés, même décortiqués ou cassés (à l'excl. des pois, des pois chiches, des haricots, des lentilles, des fèves et des féveroles)</v>
      </c>
      <c r="C5656">
        <v>5349017</v>
      </c>
      <c r="D5656">
        <v>4518</v>
      </c>
    </row>
    <row r="5657" spans="1:4" x14ac:dyDescent="0.25">
      <c r="A5657" t="str">
        <f>T("   090210")</f>
        <v xml:space="preserve">   090210</v>
      </c>
      <c r="B5657" t="str">
        <f>T("   Thé vert [thé non fermenté], présenté en emballages immédiats d'un contenu &lt;= 3 kg")</f>
        <v xml:space="preserve">   Thé vert [thé non fermenté], présenté en emballages immédiats d'un contenu &lt;= 3 kg</v>
      </c>
      <c r="C5657">
        <v>2942415</v>
      </c>
      <c r="D5657">
        <v>4796</v>
      </c>
    </row>
    <row r="5658" spans="1:4" x14ac:dyDescent="0.25">
      <c r="A5658" t="str">
        <f>T("   100630")</f>
        <v xml:space="preserve">   100630</v>
      </c>
      <c r="B5658" t="str">
        <f>T("   Riz semi-blanchi ou blanchi, même poli ou glacé")</f>
        <v xml:space="preserve">   Riz semi-blanchi ou blanchi, même poli ou glacé</v>
      </c>
      <c r="C5658">
        <v>1063319</v>
      </c>
      <c r="D5658">
        <v>1074</v>
      </c>
    </row>
    <row r="5659" spans="1:4" x14ac:dyDescent="0.25">
      <c r="A5659" t="str">
        <f>T("   151519")</f>
        <v xml:space="preserve">   151519</v>
      </c>
      <c r="B5659" t="str">
        <f>T("   Huile de lin et ses fractions, même raffinées, mais non chimiquement modifiées (à l'excl. de l'huile brute)")</f>
        <v xml:space="preserve">   Huile de lin et ses fractions, même raffinées, mais non chimiquement modifiées (à l'excl. de l'huile brute)</v>
      </c>
      <c r="C5659">
        <v>50500</v>
      </c>
      <c r="D5659">
        <v>202</v>
      </c>
    </row>
    <row r="5660" spans="1:4" x14ac:dyDescent="0.25">
      <c r="A5660" t="str">
        <f>T("   160100")</f>
        <v xml:space="preserve">   160100</v>
      </c>
      <c r="B5660" t="str">
        <f>T("   Saucisses, saucissons et produits simil., de viande, d'abats ou de sang; préparations alimentaires à base de ces produits")</f>
        <v xml:space="preserve">   Saucisses, saucissons et produits simil., de viande, d'abats ou de sang; préparations alimentaires à base de ces produits</v>
      </c>
      <c r="C5660">
        <v>80101151</v>
      </c>
      <c r="D5660">
        <v>103992</v>
      </c>
    </row>
    <row r="5661" spans="1:4" x14ac:dyDescent="0.25">
      <c r="A5661" t="str">
        <f>T("   160413")</f>
        <v xml:space="preserve">   160413</v>
      </c>
      <c r="B5661" t="str">
        <f>T("   Préparations et conserves de sardines, sardinelles, sprats ou esprots, entiers ou en morceaux (à l'excl. des préparations et conserves de poissons hachés)")</f>
        <v xml:space="preserve">   Préparations et conserves de sardines, sardinelles, sprats ou esprots, entiers ou en morceaux (à l'excl. des préparations et conserves de poissons hachés)</v>
      </c>
      <c r="C5661">
        <v>441617</v>
      </c>
      <c r="D5661">
        <v>162</v>
      </c>
    </row>
    <row r="5662" spans="1:4" x14ac:dyDescent="0.25">
      <c r="A5662" t="str">
        <f>T("   170199")</f>
        <v xml:space="preserve">   170199</v>
      </c>
      <c r="B5662" t="str">
        <f>T("   Sucres de canne ou de betterave et saccharose chimiquement pur, à l'état solide (à l'excl. des sucres bruts et des sucres de canne ou de betterave additionnés d'aromatisants ou de colorants)")</f>
        <v xml:space="preserve">   Sucres de canne ou de betterave et saccharose chimiquement pur, à l'état solide (à l'excl. des sucres bruts et des sucres de canne ou de betterave additionnés d'aromatisants ou de colorants)</v>
      </c>
      <c r="C5662">
        <v>16734820</v>
      </c>
      <c r="D5662">
        <v>115700</v>
      </c>
    </row>
    <row r="5663" spans="1:4" x14ac:dyDescent="0.25">
      <c r="A5663" t="str">
        <f>T("   190190")</f>
        <v xml:space="preserve">   190190</v>
      </c>
      <c r="B5663" t="s">
        <v>48</v>
      </c>
      <c r="C5663">
        <v>460000</v>
      </c>
      <c r="D5663">
        <v>810</v>
      </c>
    </row>
    <row r="5664" spans="1:4" x14ac:dyDescent="0.25">
      <c r="A5664" t="str">
        <f>T("   190230")</f>
        <v xml:space="preserve">   190230</v>
      </c>
      <c r="B5664" t="str">
        <f>T("   Pâtes alimentaires, cuites ou autrement préparées (à l'excl. des pâtes alimentaires farcies)")</f>
        <v xml:space="preserve">   Pâtes alimentaires, cuites ou autrement préparées (à l'excl. des pâtes alimentaires farcies)</v>
      </c>
      <c r="C5664">
        <v>7074414</v>
      </c>
      <c r="D5664">
        <v>28020</v>
      </c>
    </row>
    <row r="5665" spans="1:4" x14ac:dyDescent="0.25">
      <c r="A5665" t="str">
        <f>T("   190410")</f>
        <v xml:space="preserve">   190410</v>
      </c>
      <c r="B5665" t="str">
        <f>T("   PRODUITS À BASE DE CÉRÉALES OBTENUS PAR SOUFFLAGE OU GRILLAGE [CORN FLAKES, P.EX.]")</f>
        <v xml:space="preserve">   PRODUITS À BASE DE CÉRÉALES OBTENUS PAR SOUFFLAGE OU GRILLAGE [CORN FLAKES, P.EX.]</v>
      </c>
      <c r="C5665">
        <v>4729193</v>
      </c>
      <c r="D5665">
        <v>7745</v>
      </c>
    </row>
    <row r="5666" spans="1:4" x14ac:dyDescent="0.25">
      <c r="A5666" t="str">
        <f>T("   190590")</f>
        <v xml:space="preserve">   190590</v>
      </c>
      <c r="B5666" t="s">
        <v>50</v>
      </c>
      <c r="C5666">
        <v>12707937</v>
      </c>
      <c r="D5666">
        <v>19798</v>
      </c>
    </row>
    <row r="5667" spans="1:4" x14ac:dyDescent="0.25">
      <c r="A5667" t="str">
        <f>T("   200190")</f>
        <v xml:space="preserve">   200190</v>
      </c>
      <c r="B5667" t="str">
        <f>T("   Légumes, fruits et autres parties comestibles de plantes, préparés ou conservés au vinaigre ou à l'acide acétique (à l'excl. des concombres et des cornichons)")</f>
        <v xml:space="preserve">   Légumes, fruits et autres parties comestibles de plantes, préparés ou conservés au vinaigre ou à l'acide acétique (à l'excl. des concombres et des cornichons)</v>
      </c>
      <c r="C5667">
        <v>100000</v>
      </c>
      <c r="D5667">
        <v>65</v>
      </c>
    </row>
    <row r="5668" spans="1:4" x14ac:dyDescent="0.25">
      <c r="A5668" t="str">
        <f>T("   200590")</f>
        <v xml:space="preserve">   200590</v>
      </c>
      <c r="B5668" t="s">
        <v>51</v>
      </c>
      <c r="C5668">
        <v>10000</v>
      </c>
      <c r="D5668">
        <v>5</v>
      </c>
    </row>
    <row r="5669" spans="1:4" x14ac:dyDescent="0.25">
      <c r="A5669" t="str">
        <f>T("   200980")</f>
        <v xml:space="preserve">   200980</v>
      </c>
      <c r="B5669" t="str">
        <f>T("   JUS DE FRUITS OU DE LÉGUMES, NON-FERMENTÉS, SANS ADDITION D'ALCOOL, AVEC OU SANS ADDITION DE SUCRE OU D'AUTRES ÉDULCORANTS (À L'EXCL. DES MÉLANGES AINSI QUE DES JUS D'AGRUMES, D'ANANAS, DE TOMATE, DE RAISIN - Y.C. LES MOÛTS - ET DE POMME)")</f>
        <v xml:space="preserve">   JUS DE FRUITS OU DE LÉGUMES, NON-FERMENTÉS, SANS ADDITION D'ALCOOL, AVEC OU SANS ADDITION DE SUCRE OU D'AUTRES ÉDULCORANTS (À L'EXCL. DES MÉLANGES AINSI QUE DES JUS D'AGRUMES, D'ANANAS, DE TOMATE, DE RAISIN - Y.C. LES MOÛTS - ET DE POMME)</v>
      </c>
      <c r="C5669">
        <v>8609</v>
      </c>
      <c r="D5669">
        <v>5</v>
      </c>
    </row>
    <row r="5670" spans="1:4" x14ac:dyDescent="0.25">
      <c r="A5670" t="str">
        <f>T("   200990")</f>
        <v xml:space="preserve">   200990</v>
      </c>
      <c r="B5670" t="str">
        <f>T("   MÉLANGES DE JUS DE FRUITS - Y.C. LES MOÛTS DE RAISIN - ET DE JUS DE LÉGUMES, NON-FERMENTÉS, SANS ADDITION D'ALCOOL, AVEC OU SANS ADDITION DE SUCRE OU D'AUTRES ÉDULCORANTS")</f>
        <v xml:space="preserve">   MÉLANGES DE JUS DE FRUITS - Y.C. LES MOÛTS DE RAISIN - ET DE JUS DE LÉGUMES, NON-FERMENTÉS, SANS ADDITION D'ALCOOL, AVEC OU SANS ADDITION DE SUCRE OU D'AUTRES ÉDULCORANTS</v>
      </c>
      <c r="C5670">
        <v>2704829</v>
      </c>
      <c r="D5670">
        <v>3707</v>
      </c>
    </row>
    <row r="5671" spans="1:4" x14ac:dyDescent="0.25">
      <c r="A5671" t="str">
        <f>T("   210690")</f>
        <v xml:space="preserve">   210690</v>
      </c>
      <c r="B5671" t="str">
        <f>T("   Préparations alimentaires, n.d.a.")</f>
        <v xml:space="preserve">   Préparations alimentaires, n.d.a.</v>
      </c>
      <c r="C5671">
        <v>12447591</v>
      </c>
      <c r="D5671">
        <v>18928</v>
      </c>
    </row>
    <row r="5672" spans="1:4" x14ac:dyDescent="0.25">
      <c r="A5672" t="str">
        <f>T("   220110")</f>
        <v xml:space="preserve">   220110</v>
      </c>
      <c r="B5672" t="str">
        <f>T("   Eaux minérales et eaux gazéifiées, non additionnées de sucre ou d'autres édulcorants ni aromatisées")</f>
        <v xml:space="preserve">   Eaux minérales et eaux gazéifiées, non additionnées de sucre ou d'autres édulcorants ni aromatisées</v>
      </c>
      <c r="C5672">
        <v>41143</v>
      </c>
      <c r="D5672">
        <v>37</v>
      </c>
    </row>
    <row r="5673" spans="1:4" x14ac:dyDescent="0.25">
      <c r="A5673" t="str">
        <f>T("   220190")</f>
        <v xml:space="preserve">   220190</v>
      </c>
      <c r="B5673" t="str">
        <f>T("   Eaux, non additionnées de sucre ou d'autres édulcorants ni aromatisées (à l'excl. des eaux minérales, des eaux gazéifiées, de l'eau de mer ainsi que des eaux distillées, de conductibilité ou de même degré de pureté); glace et neige")</f>
        <v xml:space="preserve">   Eaux, non additionnées de sucre ou d'autres édulcorants ni aromatisées (à l'excl. des eaux minérales, des eaux gazéifiées, de l'eau de mer ainsi que des eaux distillées, de conductibilité ou de même degré de pureté); glace et neige</v>
      </c>
      <c r="C5673">
        <v>150037</v>
      </c>
      <c r="D5673">
        <v>540</v>
      </c>
    </row>
    <row r="5674" spans="1:4" x14ac:dyDescent="0.25">
      <c r="A5674" t="str">
        <f>T("   220210")</f>
        <v xml:space="preserve">   220210</v>
      </c>
      <c r="B5674" t="str">
        <f>T("   Eaux, y.c. les eaux minérales et les eaux gazéifiées, additionnées de sucre ou d'autres édulcorants ou aromatisées, directement consommables en l'état en tant que boissons")</f>
        <v xml:space="preserve">   Eaux, y.c. les eaux minérales et les eaux gazéifiées, additionnées de sucre ou d'autres édulcorants ou aromatisées, directement consommables en l'état en tant que boissons</v>
      </c>
      <c r="C5674">
        <v>3063719</v>
      </c>
      <c r="D5674">
        <v>4034</v>
      </c>
    </row>
    <row r="5675" spans="1:4" x14ac:dyDescent="0.25">
      <c r="A5675" t="str">
        <f>T("   220290")</f>
        <v xml:space="preserve">   220290</v>
      </c>
      <c r="B5675" t="str">
        <f>T("   BOISSONS NON-ALCOOLIQUES (À L'EXCL. DES EAUX, DES JUS DE FRUITS OU DE LÉGUMES AINSI QUE DU LAIT)")</f>
        <v xml:space="preserve">   BOISSONS NON-ALCOOLIQUES (À L'EXCL. DES EAUX, DES JUS DE FRUITS OU DE LÉGUMES AINSI QUE DU LAIT)</v>
      </c>
      <c r="C5675">
        <v>18722284</v>
      </c>
      <c r="D5675">
        <v>64602</v>
      </c>
    </row>
    <row r="5676" spans="1:4" x14ac:dyDescent="0.25">
      <c r="A5676" t="str">
        <f>T("   220429")</f>
        <v xml:space="preserve">   220429</v>
      </c>
      <c r="B5676" t="str">
        <f>T("   VINS DE RAISINS FRAIS, Y.C. LES VINS ENRICHIS EN ALCOOL, ET MOÛTS DE RAISINS DONT LA FERMENTATION A ÉTÉ EMPÊCHÉE OU ARRÊTÉE PAR ADDITION D'ALCOOL, EN RÉCIPIENTS D'UNE CONTENANCE &gt; 2 L (À L'EXCL. DES VINS MOUSSEUX)")</f>
        <v xml:space="preserve">   VINS DE RAISINS FRAIS, Y.C. LES VINS ENRICHIS EN ALCOOL, ET MOÛTS DE RAISINS DONT LA FERMENTATION A ÉTÉ EMPÊCHÉE OU ARRÊTÉE PAR ADDITION D'ALCOOL, EN RÉCIPIENTS D'UNE CONTENANCE &gt; 2 L (À L'EXCL. DES VINS MOUSSEUX)</v>
      </c>
      <c r="C5676">
        <v>5902249</v>
      </c>
      <c r="D5676">
        <v>35733</v>
      </c>
    </row>
    <row r="5677" spans="1:4" x14ac:dyDescent="0.25">
      <c r="A5677" t="str">
        <f>T("   220900")</f>
        <v xml:space="preserve">   220900</v>
      </c>
      <c r="B5677" t="str">
        <f>T("   Vinaigres comestibles et succédanés de vinaigre comestibles obtenus à partir d'acide acétique")</f>
        <v xml:space="preserve">   Vinaigres comestibles et succédanés de vinaigre comestibles obtenus à partir d'acide acétique</v>
      </c>
      <c r="C5677">
        <v>499962</v>
      </c>
      <c r="D5677">
        <v>1015</v>
      </c>
    </row>
    <row r="5678" spans="1:4" x14ac:dyDescent="0.25">
      <c r="A5678" t="str">
        <f>T("   230910")</f>
        <v xml:space="preserve">   230910</v>
      </c>
      <c r="B5678" t="str">
        <f>T("   Aliments pour chiens ou chats, conditionnés pour la vente au détail")</f>
        <v xml:space="preserve">   Aliments pour chiens ou chats, conditionnés pour la vente au détail</v>
      </c>
      <c r="C5678">
        <v>6890145</v>
      </c>
      <c r="D5678">
        <v>24845</v>
      </c>
    </row>
    <row r="5679" spans="1:4" x14ac:dyDescent="0.25">
      <c r="A5679" t="str">
        <f>T("   250100")</f>
        <v xml:space="preserve">   250100</v>
      </c>
      <c r="B5679" t="s">
        <v>60</v>
      </c>
      <c r="C5679">
        <v>1492115</v>
      </c>
      <c r="D5679">
        <v>1858</v>
      </c>
    </row>
    <row r="5680" spans="1:4" x14ac:dyDescent="0.25">
      <c r="A5680" t="str">
        <f>T("   251110")</f>
        <v xml:space="preserve">   251110</v>
      </c>
      <c r="B5680" t="str">
        <f>T("   Sulfate de baryum naturel [barytine]")</f>
        <v xml:space="preserve">   Sulfate de baryum naturel [barytine]</v>
      </c>
      <c r="C5680">
        <v>1355214</v>
      </c>
      <c r="D5680">
        <v>2016</v>
      </c>
    </row>
    <row r="5681" spans="1:4" x14ac:dyDescent="0.25">
      <c r="A5681" t="str">
        <f>T("   252520")</f>
        <v xml:space="preserve">   252520</v>
      </c>
      <c r="B5681" t="str">
        <f>T("   Mica en poudre")</f>
        <v xml:space="preserve">   Mica en poudre</v>
      </c>
      <c r="C5681">
        <v>2126622</v>
      </c>
      <c r="D5681">
        <v>1452</v>
      </c>
    </row>
    <row r="5682" spans="1:4" x14ac:dyDescent="0.25">
      <c r="A5682" t="str">
        <f>T("   270750")</f>
        <v xml:space="preserve">   270750</v>
      </c>
      <c r="B5682" t="str">
        <f>T("   MÉLANGES D'HYDROCARBURES AROMATIQUES DISTILLANT &gt;= 65% DE LEUR VOLUME, Y.C. LES PERTES, À 250°C D'APRÈS LA MÉTHODE ASTM D 86 (À L'EXCL. DES PRODUITS DE CONSTITUTION CHIMIQUE DÉFINIE)")</f>
        <v xml:space="preserve">   MÉLANGES D'HYDROCARBURES AROMATIQUES DISTILLANT &gt;= 65% DE LEUR VOLUME, Y.C. LES PERTES, À 250°C D'APRÈS LA MÉTHODE ASTM D 86 (À L'EXCL. DES PRODUITS DE CONSTITUTION CHIMIQUE DÉFINIE)</v>
      </c>
      <c r="C5682">
        <v>29514919</v>
      </c>
      <c r="D5682">
        <v>20112</v>
      </c>
    </row>
    <row r="5683" spans="1:4" x14ac:dyDescent="0.25">
      <c r="A5683" t="str">
        <f>T("   271011")</f>
        <v xml:space="preserve">   271011</v>
      </c>
      <c r="B5683" t="str">
        <f>T("   HUILES LÉGÈRES ET PRÉPARATIONS DE PÉTROLE OU DE MINÉRAUX BITUMINEUX DISTILLANT EN VOLUME, Y.C. LES PERTES, &gt;= 90% À 210°C, D'APRÈS LA MÉTHODE ASTM D 86")</f>
        <v xml:space="preserve">   HUILES LÉGÈRES ET PRÉPARATIONS DE PÉTROLE OU DE MINÉRAUX BITUMINEUX DISTILLANT EN VOLUME, Y.C. LES PERTES, &gt;= 90% À 210°C, D'APRÈS LA MÉTHODE ASTM D 86</v>
      </c>
      <c r="C5683">
        <v>23290514</v>
      </c>
      <c r="D5683">
        <v>21266</v>
      </c>
    </row>
    <row r="5684" spans="1:4" x14ac:dyDescent="0.25">
      <c r="A5684" t="str">
        <f>T("   271019")</f>
        <v xml:space="preserve">   271019</v>
      </c>
      <c r="B5684" t="str">
        <f>T("   Huiles moyennes et préparations, de pétrole ou de minéraux bitumineux, n.d.a.")</f>
        <v xml:space="preserve">   Huiles moyennes et préparations, de pétrole ou de minéraux bitumineux, n.d.a.</v>
      </c>
      <c r="C5684">
        <v>27677734193</v>
      </c>
      <c r="D5684">
        <v>101499809</v>
      </c>
    </row>
    <row r="5685" spans="1:4" x14ac:dyDescent="0.25">
      <c r="A5685" t="str">
        <f>T("   281420")</f>
        <v xml:space="preserve">   281420</v>
      </c>
      <c r="B5685" t="str">
        <f>T("   Ammoniac en solution aqueuse [ammoniaque]")</f>
        <v xml:space="preserve">   Ammoniac en solution aqueuse [ammoniaque]</v>
      </c>
      <c r="C5685">
        <v>1092174</v>
      </c>
      <c r="D5685">
        <v>1552</v>
      </c>
    </row>
    <row r="5686" spans="1:4" x14ac:dyDescent="0.25">
      <c r="A5686" t="str">
        <f>T("   281700")</f>
        <v xml:space="preserve">   281700</v>
      </c>
      <c r="B5686" t="str">
        <f>T("   Oxyde de zinc; peroxyde de zinc")</f>
        <v xml:space="preserve">   Oxyde de zinc; peroxyde de zinc</v>
      </c>
      <c r="C5686">
        <v>1606446</v>
      </c>
      <c r="D5686">
        <v>504</v>
      </c>
    </row>
    <row r="5687" spans="1:4" x14ac:dyDescent="0.25">
      <c r="A5687" t="str">
        <f>T("   282110")</f>
        <v xml:space="preserve">   282110</v>
      </c>
      <c r="B5687" t="str">
        <f>T("   Oxydes et hydroxydes de fer")</f>
        <v xml:space="preserve">   Oxydes et hydroxydes de fer</v>
      </c>
      <c r="C5687">
        <v>6877085</v>
      </c>
      <c r="D5687">
        <v>3533</v>
      </c>
    </row>
    <row r="5688" spans="1:4" x14ac:dyDescent="0.25">
      <c r="A5688" t="str">
        <f>T("   282300")</f>
        <v xml:space="preserve">   282300</v>
      </c>
      <c r="B5688" t="str">
        <f>T("   Oxydes de titane")</f>
        <v xml:space="preserve">   Oxydes de titane</v>
      </c>
      <c r="C5688">
        <v>51723102</v>
      </c>
      <c r="D5688">
        <v>20700</v>
      </c>
    </row>
    <row r="5689" spans="1:4" x14ac:dyDescent="0.25">
      <c r="A5689" t="str">
        <f>T("   284910")</f>
        <v xml:space="preserve">   284910</v>
      </c>
      <c r="B5689" t="str">
        <f>T("   Carbure de calcium, de constitution chimique définie ou non")</f>
        <v xml:space="preserve">   Carbure de calcium, de constitution chimique définie ou non</v>
      </c>
      <c r="C5689">
        <v>10572064</v>
      </c>
      <c r="D5689">
        <v>19800</v>
      </c>
    </row>
    <row r="5690" spans="1:4" x14ac:dyDescent="0.25">
      <c r="A5690" t="str">
        <f>T("   290230")</f>
        <v xml:space="preserve">   290230</v>
      </c>
      <c r="B5690" t="str">
        <f>T("   Toluène")</f>
        <v xml:space="preserve">   Toluène</v>
      </c>
      <c r="C5690">
        <v>58795665</v>
      </c>
      <c r="D5690">
        <v>42211</v>
      </c>
    </row>
    <row r="5691" spans="1:4" x14ac:dyDescent="0.25">
      <c r="A5691" t="str">
        <f>T("   290514")</f>
        <v xml:space="preserve">   290514</v>
      </c>
      <c r="B5691" t="str">
        <f>T("   Butanols (à l'excl. du butane-1-ol [alcool n-butylique])")</f>
        <v xml:space="preserve">   Butanols (à l'excl. du butane-1-ol [alcool n-butylique])</v>
      </c>
      <c r="C5691">
        <v>1852431</v>
      </c>
      <c r="D5691">
        <v>1396</v>
      </c>
    </row>
    <row r="5692" spans="1:4" x14ac:dyDescent="0.25">
      <c r="A5692" t="str">
        <f>T("   290943")</f>
        <v xml:space="preserve">   290943</v>
      </c>
      <c r="B5692" t="str">
        <f>T("   Ethers monobutyliques de l'éthylène-glycol ou du diéthylène-glycol")</f>
        <v xml:space="preserve">   Ethers monobutyliques de l'éthylène-glycol ou du diéthylène-glycol</v>
      </c>
      <c r="C5692">
        <v>4560889</v>
      </c>
      <c r="D5692">
        <v>2838</v>
      </c>
    </row>
    <row r="5693" spans="1:4" x14ac:dyDescent="0.25">
      <c r="A5693" t="str">
        <f>T("   291631")</f>
        <v xml:space="preserve">   291631</v>
      </c>
      <c r="B5693" t="str">
        <f>T("   Acide benzoïque, ses sels et ses esters")</f>
        <v xml:space="preserve">   Acide benzoïque, ses sels et ses esters</v>
      </c>
      <c r="C5693">
        <v>1654833</v>
      </c>
      <c r="D5693">
        <v>375</v>
      </c>
    </row>
    <row r="5694" spans="1:4" x14ac:dyDescent="0.25">
      <c r="A5694" t="str">
        <f>T("   293629")</f>
        <v xml:space="preserve">   293629</v>
      </c>
      <c r="B5694" t="str">
        <f>T("   VITAMINES ET LEURS DÉRIVÉS UTILISÉS PRINCIPALEMENT EN TANT QUE VITAMINES, NON-MÉLANGÉS (À L'EXCL. DES VITAMINES A, B1, B2, B3, B5, B6, B12, C ET E AINSI QUE DES DÉRIVÉS DE CES VITAMINES)")</f>
        <v xml:space="preserve">   VITAMINES ET LEURS DÉRIVÉS UTILISÉS PRINCIPALEMENT EN TANT QUE VITAMINES, NON-MÉLANGÉS (À L'EXCL. DES VITAMINES A, B1, B2, B3, B5, B6, B12, C ET E AINSI QUE DES DÉRIVÉS DE CES VITAMINES)</v>
      </c>
      <c r="C5694">
        <v>9517835</v>
      </c>
      <c r="D5694">
        <v>360</v>
      </c>
    </row>
    <row r="5695" spans="1:4" x14ac:dyDescent="0.25">
      <c r="A5695" t="str">
        <f>T("   300450")</f>
        <v xml:space="preserve">   300450</v>
      </c>
      <c r="B5695" t="s">
        <v>77</v>
      </c>
      <c r="C5695">
        <v>5790</v>
      </c>
      <c r="D5695">
        <v>2</v>
      </c>
    </row>
    <row r="5696" spans="1:4" x14ac:dyDescent="0.25">
      <c r="A5696" t="str">
        <f>T("   300490")</f>
        <v xml:space="preserve">   300490</v>
      </c>
      <c r="B5696" t="s">
        <v>78</v>
      </c>
      <c r="C5696">
        <v>4908544</v>
      </c>
      <c r="D5696">
        <v>6800</v>
      </c>
    </row>
    <row r="5697" spans="1:4" x14ac:dyDescent="0.25">
      <c r="A5697" t="str">
        <f>T("   320417")</f>
        <v xml:space="preserve">   320417</v>
      </c>
      <c r="B5697" t="s">
        <v>90</v>
      </c>
      <c r="C5697">
        <v>3061367</v>
      </c>
      <c r="D5697">
        <v>400</v>
      </c>
    </row>
    <row r="5698" spans="1:4" x14ac:dyDescent="0.25">
      <c r="A5698" t="str">
        <f>T("   320620")</f>
        <v xml:space="preserve">   320620</v>
      </c>
      <c r="B5698" t="s">
        <v>93</v>
      </c>
      <c r="C5698">
        <v>5528431</v>
      </c>
      <c r="D5698">
        <v>908</v>
      </c>
    </row>
    <row r="5699" spans="1:4" x14ac:dyDescent="0.25">
      <c r="A5699" t="str">
        <f>T("   321100")</f>
        <v xml:space="preserve">   321100</v>
      </c>
      <c r="B5699" t="str">
        <f>T("   Siccatifs préparés")</f>
        <v xml:space="preserve">   Siccatifs préparés</v>
      </c>
      <c r="C5699">
        <v>2842930</v>
      </c>
      <c r="D5699">
        <v>1486</v>
      </c>
    </row>
    <row r="5700" spans="1:4" x14ac:dyDescent="0.25">
      <c r="A5700" t="str">
        <f>T("   321519")</f>
        <v xml:space="preserve">   321519</v>
      </c>
      <c r="B5700" t="str">
        <f>T("   Encres d'imprimerie, même concentrées ou sous formes solides (à l'excl. des encres noires)")</f>
        <v xml:space="preserve">   Encres d'imprimerie, même concentrées ou sous formes solides (à l'excl. des encres noires)</v>
      </c>
      <c r="C5700">
        <v>4563825</v>
      </c>
      <c r="D5700">
        <v>120</v>
      </c>
    </row>
    <row r="5701" spans="1:4" x14ac:dyDescent="0.25">
      <c r="A5701" t="str">
        <f>T("   330129")</f>
        <v xml:space="preserve">   330129</v>
      </c>
      <c r="B5701" t="str">
        <f>T("   HUILES ESSENTIELLES, DÉTERPÉNÉES OU NON, Y.C. CELLES DITES 'CONCRÈTES' OU 'ABSOLUES' (À L'EXCL. DES HUILES ESSENTIELLES D'AGRUMES OU DE MENTHES)")</f>
        <v xml:space="preserve">   HUILES ESSENTIELLES, DÉTERPÉNÉES OU NON, Y.C. CELLES DITES 'CONCRÈTES' OU 'ABSOLUES' (À L'EXCL. DES HUILES ESSENTIELLES D'AGRUMES OU DE MENTHES)</v>
      </c>
      <c r="C5701">
        <v>105212</v>
      </c>
      <c r="D5701">
        <v>106</v>
      </c>
    </row>
    <row r="5702" spans="1:4" x14ac:dyDescent="0.25">
      <c r="A5702" t="str">
        <f>T("   330190")</f>
        <v xml:space="preserve">   330190</v>
      </c>
      <c r="B5702" t="s">
        <v>98</v>
      </c>
      <c r="C5702">
        <v>174882</v>
      </c>
      <c r="D5702">
        <v>94</v>
      </c>
    </row>
    <row r="5703" spans="1:4" x14ac:dyDescent="0.25">
      <c r="A5703" t="str">
        <f>T("   330491")</f>
        <v xml:space="preserve">   330491</v>
      </c>
      <c r="B5703" t="str">
        <f>T("   Poudres pour le maquillage ou l'entretien ou les soins de la peau, y.c. les poudres pour bébés et les poudres compactes (à l'excl. des médicaments)")</f>
        <v xml:space="preserve">   Poudres pour le maquillage ou l'entretien ou les soins de la peau, y.c. les poudres pour bébés et les poudres compactes (à l'excl. des médicaments)</v>
      </c>
      <c r="C5703">
        <v>23324</v>
      </c>
      <c r="D5703">
        <v>6</v>
      </c>
    </row>
    <row r="5704" spans="1:4" x14ac:dyDescent="0.25">
      <c r="A5704" t="str">
        <f>T("   330499")</f>
        <v xml:space="preserve">   330499</v>
      </c>
      <c r="B5704" t="s">
        <v>100</v>
      </c>
      <c r="C5704">
        <v>597787</v>
      </c>
      <c r="D5704">
        <v>573</v>
      </c>
    </row>
    <row r="5705" spans="1:4" x14ac:dyDescent="0.25">
      <c r="A5705" t="str">
        <f>T("   330510")</f>
        <v xml:space="preserve">   330510</v>
      </c>
      <c r="B5705" t="str">
        <f>T("   Shampooings")</f>
        <v xml:space="preserve">   Shampooings</v>
      </c>
      <c r="C5705">
        <v>838197</v>
      </c>
      <c r="D5705">
        <v>872</v>
      </c>
    </row>
    <row r="5706" spans="1:4" x14ac:dyDescent="0.25">
      <c r="A5706" t="str">
        <f>T("   330590")</f>
        <v xml:space="preserve">   330590</v>
      </c>
      <c r="B5706" t="str">
        <f>T("   PRÉPARATIONS CAPILLAIRES (À L'EXCL. DES SHAMPOOINGS, DES LAQUES POUR CHEVEUX ET DES PRÉPARATIONS POUR L'ONDULATION OU LE DÉFRISAGE PERMANENTS)")</f>
        <v xml:space="preserve">   PRÉPARATIONS CAPILLAIRES (À L'EXCL. DES SHAMPOOINGS, DES LAQUES POUR CHEVEUX ET DES PRÉPARATIONS POUR L'ONDULATION OU LE DÉFRISAGE PERMANENTS)</v>
      </c>
      <c r="C5706">
        <v>176887</v>
      </c>
      <c r="D5706">
        <v>287</v>
      </c>
    </row>
    <row r="5707" spans="1:4" x14ac:dyDescent="0.25">
      <c r="A5707" t="str">
        <f>T("   330730")</f>
        <v xml:space="preserve">   330730</v>
      </c>
      <c r="B5707" t="str">
        <f>T("   Sels parfumés et autres préparations pour bains")</f>
        <v xml:space="preserve">   Sels parfumés et autres préparations pour bains</v>
      </c>
      <c r="C5707">
        <v>48548</v>
      </c>
      <c r="D5707">
        <v>100</v>
      </c>
    </row>
    <row r="5708" spans="1:4" x14ac:dyDescent="0.25">
      <c r="A5708" t="str">
        <f>T("   340111")</f>
        <v xml:space="preserve">   340111</v>
      </c>
      <c r="B5708" t="s">
        <v>101</v>
      </c>
      <c r="C5708">
        <v>7238</v>
      </c>
      <c r="D5708">
        <v>2</v>
      </c>
    </row>
    <row r="5709" spans="1:4" x14ac:dyDescent="0.25">
      <c r="A5709" t="str">
        <f>T("   340119")</f>
        <v xml:space="preserve">   340119</v>
      </c>
      <c r="B5709" t="s">
        <v>102</v>
      </c>
      <c r="C5709">
        <v>7289</v>
      </c>
      <c r="D5709">
        <v>4</v>
      </c>
    </row>
    <row r="5710" spans="1:4" x14ac:dyDescent="0.25">
      <c r="A5710" t="str">
        <f>T("   340213")</f>
        <v xml:space="preserve">   340213</v>
      </c>
      <c r="B5710" t="str">
        <f>T("   Agents de surface organiques, non ioniques, même conditionnés pour la vente au détail (à l'excl. des savons)")</f>
        <v xml:space="preserve">   Agents de surface organiques, non ioniques, même conditionnés pour la vente au détail (à l'excl. des savons)</v>
      </c>
      <c r="C5710">
        <v>16904090</v>
      </c>
      <c r="D5710">
        <v>7246</v>
      </c>
    </row>
    <row r="5711" spans="1:4" x14ac:dyDescent="0.25">
      <c r="A5711" t="str">
        <f>T("   340290")</f>
        <v xml:space="preserve">   340290</v>
      </c>
      <c r="B5711" t="s">
        <v>104</v>
      </c>
      <c r="C5711">
        <v>1110007</v>
      </c>
      <c r="D5711">
        <v>1371</v>
      </c>
    </row>
    <row r="5712" spans="1:4" x14ac:dyDescent="0.25">
      <c r="A5712" t="str">
        <f>T("   350520")</f>
        <v xml:space="preserve">   350520</v>
      </c>
      <c r="B5712" t="str">
        <f>T("   Colles à base d'amidons ou de fécules, de dextrine ou d'autres amidons ou fécules modifiés (à l'excl. des produits conditionnés pour la vente au détail comme colles et d'un poids net &lt;= 1 kg)")</f>
        <v xml:space="preserve">   Colles à base d'amidons ou de fécules, de dextrine ou d'autres amidons ou fécules modifiés (à l'excl. des produits conditionnés pour la vente au détail comme colles et d'un poids net &lt;= 1 kg)</v>
      </c>
      <c r="C5712">
        <v>4221018</v>
      </c>
      <c r="D5712">
        <v>2600</v>
      </c>
    </row>
    <row r="5713" spans="1:4" x14ac:dyDescent="0.25">
      <c r="A5713" t="str">
        <f>T("   380690")</f>
        <v xml:space="preserve">   380690</v>
      </c>
      <c r="B5713" t="s">
        <v>119</v>
      </c>
      <c r="C5713">
        <v>6988598</v>
      </c>
      <c r="D5713">
        <v>2268</v>
      </c>
    </row>
    <row r="5714" spans="1:4" x14ac:dyDescent="0.25">
      <c r="A5714" t="str">
        <f>T("   380840")</f>
        <v xml:space="preserve">   380840</v>
      </c>
      <c r="B5714" t="str">
        <f>T("   Désinfectants et produits simil., présentés dans des formes ou emballages de vente au détail ou à l'état de préparations ou sous forme d'articles")</f>
        <v xml:space="preserve">   Désinfectants et produits simil., présentés dans des formes ou emballages de vente au détail ou à l'état de préparations ou sous forme d'articles</v>
      </c>
      <c r="C5714">
        <v>656207</v>
      </c>
      <c r="D5714">
        <v>1074</v>
      </c>
    </row>
    <row r="5715" spans="1:4" x14ac:dyDescent="0.25">
      <c r="A5715" t="str">
        <f>T("   380890")</f>
        <v xml:space="preserve">   380890</v>
      </c>
      <c r="B5715" t="str">
        <f>T("   Antirongeurs et autres produits phytosanitaires, présentés dans des formes ou emballages de vente au détail ou à l'état de préparations ou sous forme d'articles (à l'excl. des insecticides, des fongicides, des herbicides et des désinfectants)")</f>
        <v xml:space="preserve">   Antirongeurs et autres produits phytosanitaires, présentés dans des formes ou emballages de vente au détail ou à l'état de préparations ou sous forme d'articles (à l'excl. des insecticides, des fongicides, des herbicides et des désinfectants)</v>
      </c>
      <c r="C5715">
        <v>10921733</v>
      </c>
      <c r="D5715">
        <v>2550</v>
      </c>
    </row>
    <row r="5716" spans="1:4" x14ac:dyDescent="0.25">
      <c r="A5716" t="str">
        <f>T("   381190")</f>
        <v xml:space="preserve">   381190</v>
      </c>
      <c r="B5716" t="s">
        <v>123</v>
      </c>
      <c r="C5716">
        <v>2348448</v>
      </c>
      <c r="D5716">
        <v>533.4</v>
      </c>
    </row>
    <row r="5717" spans="1:4" x14ac:dyDescent="0.25">
      <c r="A5717" t="str">
        <f>T("   381400")</f>
        <v xml:space="preserve">   381400</v>
      </c>
      <c r="B5717" t="str">
        <f>T("   Solvants et diluants organiques composites, n.d.a.; préparations conçues pour enlever les peintures ou les vernis (à l'excl. des dissolvants pour vernis à ongles)")</f>
        <v xml:space="preserve">   Solvants et diluants organiques composites, n.d.a.; préparations conçues pour enlever les peintures ou les vernis (à l'excl. des dissolvants pour vernis à ongles)</v>
      </c>
      <c r="C5717">
        <v>41734524</v>
      </c>
      <c r="D5717">
        <v>152526</v>
      </c>
    </row>
    <row r="5718" spans="1:4" x14ac:dyDescent="0.25">
      <c r="A5718" t="str">
        <f>T("   382100")</f>
        <v xml:space="preserve">   382100</v>
      </c>
      <c r="B5718" t="str">
        <f>T("   Milieux de culture préparés pour le développement des micro-organismes")</f>
        <v xml:space="preserve">   Milieux de culture préparés pour le développement des micro-organismes</v>
      </c>
      <c r="C5718">
        <v>23268213</v>
      </c>
      <c r="D5718">
        <v>265</v>
      </c>
    </row>
    <row r="5719" spans="1:4" x14ac:dyDescent="0.25">
      <c r="A5719" t="str">
        <f>T("   382490")</f>
        <v xml:space="preserve">   382490</v>
      </c>
      <c r="B5719" t="str">
        <f>T("   Produits chimiques et préparations des industries chimiques ou des industries connexes, y.c. celles consistant en mélanges de produits naturels, n.d.a.")</f>
        <v xml:space="preserve">   Produits chimiques et préparations des industries chimiques ou des industries connexes, y.c. celles consistant en mélanges de produits naturels, n.d.a.</v>
      </c>
      <c r="C5719">
        <v>18257789</v>
      </c>
      <c r="D5719">
        <v>11167</v>
      </c>
    </row>
    <row r="5720" spans="1:4" x14ac:dyDescent="0.25">
      <c r="A5720" t="str">
        <f>T("   390390")</f>
        <v xml:space="preserve">   390390</v>
      </c>
      <c r="B5720" t="str">
        <f>T("   Polymères du styrène, sous formes primaires (à l'excl. du polystyrène ainsi que des copolymères de styrène-acrylonitrile [SAN] ou d'acrylonitrile-butadiène-styrène [ABS])")</f>
        <v xml:space="preserve">   Polymères du styrène, sous formes primaires (à l'excl. du polystyrène ainsi que des copolymères de styrène-acrylonitrile [SAN] ou d'acrylonitrile-butadiène-styrène [ABS])</v>
      </c>
      <c r="C5720">
        <v>5593370</v>
      </c>
      <c r="D5720">
        <v>3240</v>
      </c>
    </row>
    <row r="5721" spans="1:4" x14ac:dyDescent="0.25">
      <c r="A5721" t="str">
        <f>T("   390490")</f>
        <v xml:space="preserve">   390490</v>
      </c>
      <c r="B5721" t="str">
        <f>T("   Polymères du chlorure de vinyle ou d'autres oléfines halogénées, sous formes primaires (à l'excl. du poly[chlorure de vinyle], des copolymères du chlorure de vinyle, des polymères du chlorure de vinylidène ainsi que des polymères fluorés)")</f>
        <v xml:space="preserve">   Polymères du chlorure de vinyle ou d'autres oléfines halogénées, sous formes primaires (à l'excl. du poly[chlorure de vinyle], des copolymères du chlorure de vinyle, des polymères du chlorure de vinylidène ainsi que des polymères fluorés)</v>
      </c>
      <c r="C5721">
        <v>3113842</v>
      </c>
      <c r="D5721">
        <v>630</v>
      </c>
    </row>
    <row r="5722" spans="1:4" x14ac:dyDescent="0.25">
      <c r="A5722" t="str">
        <f>T("   390690")</f>
        <v xml:space="preserve">   390690</v>
      </c>
      <c r="B5722" t="str">
        <f>T("   Polymères acryliques, sous formes primaires (à l'excl. du poly[méthacrylate de méthyle])")</f>
        <v xml:space="preserve">   Polymères acryliques, sous formes primaires (à l'excl. du poly[méthacrylate de méthyle])</v>
      </c>
      <c r="C5722">
        <v>6717687</v>
      </c>
      <c r="D5722">
        <v>4373</v>
      </c>
    </row>
    <row r="5723" spans="1:4" x14ac:dyDescent="0.25">
      <c r="A5723" t="str">
        <f>T("   390720")</f>
        <v xml:space="preserve">   390720</v>
      </c>
      <c r="B5723" t="str">
        <f>T("   Polyéthers, sous formes primaires (à l'excl. des polyacétals)")</f>
        <v xml:space="preserve">   Polyéthers, sous formes primaires (à l'excl. des polyacétals)</v>
      </c>
      <c r="C5723">
        <v>182178460</v>
      </c>
      <c r="D5723">
        <v>151680</v>
      </c>
    </row>
    <row r="5724" spans="1:4" x14ac:dyDescent="0.25">
      <c r="A5724" t="str">
        <f>T("   390730")</f>
        <v xml:space="preserve">   390730</v>
      </c>
      <c r="B5724" t="str">
        <f>T("   Résines époxydes, sous formes primaires")</f>
        <v xml:space="preserve">   Résines époxydes, sous formes primaires</v>
      </c>
      <c r="C5724">
        <v>2953131</v>
      </c>
      <c r="D5724">
        <v>1544</v>
      </c>
    </row>
    <row r="5725" spans="1:4" x14ac:dyDescent="0.25">
      <c r="A5725" t="str">
        <f>T("   390750")</f>
        <v xml:space="preserve">   390750</v>
      </c>
      <c r="B5725" t="str">
        <f>T("   Résines alkydes, sous formes primaires")</f>
        <v xml:space="preserve">   Résines alkydes, sous formes primaires</v>
      </c>
      <c r="C5725">
        <v>135988974</v>
      </c>
      <c r="D5725">
        <v>126300</v>
      </c>
    </row>
    <row r="5726" spans="1:4" x14ac:dyDescent="0.25">
      <c r="A5726" t="str">
        <f>T("   390799")</f>
        <v xml:space="preserve">   390799</v>
      </c>
      <c r="B5726" t="str">
        <f>T("   POLYESTERS, SATURÉS, SOUS FORMES PRIMAIRES (À L'EXCL. DES POLYCARBONATES, DES RÉSINES ALKYDES ET DU POLY[ÉTHYLÈNE TÉRÉPHTALATE]) [01/01/1988-31/12/1993: POLYESTERS ALLYLIQUES ET AUTRES POLYESTERS, SATURÉS, SOUS FORMES PRIMAIRES]")</f>
        <v xml:space="preserve">   POLYESTERS, SATURÉS, SOUS FORMES PRIMAIRES (À L'EXCL. DES POLYCARBONATES, DES RÉSINES ALKYDES ET DU POLY[ÉTHYLÈNE TÉRÉPHTALATE]) [01/01/1988-31/12/1993: POLYESTERS ALLYLIQUES ET AUTRES POLYESTERS, SATURÉS, SOUS FORMES PRIMAIRES]</v>
      </c>
      <c r="C5726">
        <v>3211970</v>
      </c>
      <c r="D5726">
        <v>3000</v>
      </c>
    </row>
    <row r="5727" spans="1:4" x14ac:dyDescent="0.25">
      <c r="A5727" t="str">
        <f>T("   390930")</f>
        <v xml:space="preserve">   390930</v>
      </c>
      <c r="B5727" t="str">
        <f>T("   Résines aminiques, sous formes primaires (à l'excl. des résines de thiourée ainsi que des résines uréiques ou mélaminiques)")</f>
        <v xml:space="preserve">   Résines aminiques, sous formes primaires (à l'excl. des résines de thiourée ainsi que des résines uréiques ou mélaminiques)</v>
      </c>
      <c r="C5727">
        <v>1419498</v>
      </c>
      <c r="D5727">
        <v>203</v>
      </c>
    </row>
    <row r="5728" spans="1:4" x14ac:dyDescent="0.25">
      <c r="A5728" t="str">
        <f>T("   391990")</f>
        <v xml:space="preserve">   391990</v>
      </c>
      <c r="B5728" t="s">
        <v>130</v>
      </c>
      <c r="C5728">
        <v>11164439</v>
      </c>
      <c r="D5728">
        <v>1040</v>
      </c>
    </row>
    <row r="5729" spans="1:4" x14ac:dyDescent="0.25">
      <c r="A5729" t="str">
        <f>T("   392329")</f>
        <v xml:space="preserve">   392329</v>
      </c>
      <c r="B5729" t="str">
        <f>T("   Sacs, sachets, pochettes et cornets, en matières plastiques (autres que les polymères de l'éthylène)")</f>
        <v xml:space="preserve">   Sacs, sachets, pochettes et cornets, en matières plastiques (autres que les polymères de l'éthylène)</v>
      </c>
      <c r="C5729">
        <v>39358</v>
      </c>
      <c r="D5729">
        <v>1</v>
      </c>
    </row>
    <row r="5730" spans="1:4" x14ac:dyDescent="0.25">
      <c r="A5730" t="str">
        <f>T("   392410")</f>
        <v xml:space="preserve">   392410</v>
      </c>
      <c r="B5730" t="str">
        <f>T("   Vaisselle et autres articles pour le service de la table ou de la cuisine, en matières plastiques")</f>
        <v xml:space="preserve">   Vaisselle et autres articles pour le service de la table ou de la cuisine, en matières plastiques</v>
      </c>
      <c r="C5730">
        <v>676194</v>
      </c>
      <c r="D5730">
        <v>31</v>
      </c>
    </row>
    <row r="5731" spans="1:4" x14ac:dyDescent="0.25">
      <c r="A5731" t="str">
        <f>T("   392490")</f>
        <v xml:space="preserve">   392490</v>
      </c>
      <c r="B5731" t="s">
        <v>145</v>
      </c>
      <c r="C5731">
        <v>12234670</v>
      </c>
      <c r="D5731">
        <v>24000</v>
      </c>
    </row>
    <row r="5732" spans="1:4" x14ac:dyDescent="0.25">
      <c r="A5732" t="str">
        <f>T("   392690")</f>
        <v xml:space="preserve">   392690</v>
      </c>
      <c r="B5732" t="str">
        <f>T("   Ouvrages en matières plastiques et ouvrages en autres matières du n° 3901 à 3914, n.d.a.")</f>
        <v xml:space="preserve">   Ouvrages en matières plastiques et ouvrages en autres matières du n° 3901 à 3914, n.d.a.</v>
      </c>
      <c r="C5732">
        <v>5458769</v>
      </c>
      <c r="D5732">
        <v>15807</v>
      </c>
    </row>
    <row r="5733" spans="1:4" x14ac:dyDescent="0.25">
      <c r="A5733" t="str">
        <f>T("   400911")</f>
        <v xml:space="preserve">   400911</v>
      </c>
      <c r="B5733" t="str">
        <f>T("   Tubes et tuyaux en caoutchouc vulcanisé non durci, non renforcés à l'aide d'autres matières ni autrement associés à d'autres matières, sans accessoires")</f>
        <v xml:space="preserve">   Tubes et tuyaux en caoutchouc vulcanisé non durci, non renforcés à l'aide d'autres matières ni autrement associés à d'autres matières, sans accessoires</v>
      </c>
      <c r="C5733">
        <v>196289</v>
      </c>
      <c r="D5733">
        <v>21</v>
      </c>
    </row>
    <row r="5734" spans="1:4" x14ac:dyDescent="0.25">
      <c r="A5734" t="str">
        <f>T("   400941")</f>
        <v xml:space="preserve">   400941</v>
      </c>
      <c r="B5734" t="str">
        <f>T("   Tubes et tuyaux en caoutchouc vulcanisé non durci, renforcés à l'aide d'autres matières que le métal ou les matières textiles ou autrement associés à d'autres matières que le métal ou les matières textiles, sans accessoires")</f>
        <v xml:space="preserve">   Tubes et tuyaux en caoutchouc vulcanisé non durci, renforcés à l'aide d'autres matières que le métal ou les matières textiles ou autrement associés à d'autres matières que le métal ou les matières textiles, sans accessoires</v>
      </c>
      <c r="C5734">
        <v>250459</v>
      </c>
      <c r="D5734">
        <v>34</v>
      </c>
    </row>
    <row r="5735" spans="1:4" x14ac:dyDescent="0.25">
      <c r="A5735" t="str">
        <f>T("   401039")</f>
        <v xml:space="preserve">   401039</v>
      </c>
      <c r="B5735" t="s">
        <v>154</v>
      </c>
      <c r="C5735">
        <v>13960</v>
      </c>
      <c r="D5735">
        <v>0.5</v>
      </c>
    </row>
    <row r="5736" spans="1:4" x14ac:dyDescent="0.25">
      <c r="A5736" t="str">
        <f>T("   401211")</f>
        <v xml:space="preserve">   401211</v>
      </c>
      <c r="B5736" t="str">
        <f>T("   Pneumatiques rechapés, en caoutchouc, des types utilisés pour les voitures de tourisme, y.c. les voitures du type 'break' et les voitures de course")</f>
        <v xml:space="preserve">   Pneumatiques rechapés, en caoutchouc, des types utilisés pour les voitures de tourisme, y.c. les voitures du type 'break' et les voitures de course</v>
      </c>
      <c r="C5736">
        <v>3600000</v>
      </c>
      <c r="D5736">
        <v>15000</v>
      </c>
    </row>
    <row r="5737" spans="1:4" x14ac:dyDescent="0.25">
      <c r="A5737" t="str">
        <f>T("   401220")</f>
        <v xml:space="preserve">   401220</v>
      </c>
      <c r="B5737" t="str">
        <f>T("   Pneumatiques usagés, en caoutchouc")</f>
        <v xml:space="preserve">   Pneumatiques usagés, en caoutchouc</v>
      </c>
      <c r="C5737">
        <v>70373576</v>
      </c>
      <c r="D5737">
        <v>237844</v>
      </c>
    </row>
    <row r="5738" spans="1:4" x14ac:dyDescent="0.25">
      <c r="A5738" t="str">
        <f>T("   401290")</f>
        <v xml:space="preserve">   401290</v>
      </c>
      <c r="B5738" t="str">
        <f>T("   Bandages pleins ou creux [mi-pleins], bandes de roulement amovibles pour pneumatiques et flaps, en caoutchouc")</f>
        <v xml:space="preserve">   Bandages pleins ou creux [mi-pleins], bandes de roulement amovibles pour pneumatiques et flaps, en caoutchouc</v>
      </c>
      <c r="C5738">
        <v>48639</v>
      </c>
      <c r="D5738">
        <v>134</v>
      </c>
    </row>
    <row r="5739" spans="1:4" x14ac:dyDescent="0.25">
      <c r="A5739" t="str">
        <f>T("   401310")</f>
        <v xml:space="preserve">   401310</v>
      </c>
      <c r="B5739" t="str">
        <f>T("   Chambres à air, en caoutchouc, des types utilisés pour les voitures de tourisme [y.c. les voitures du type 'break' et les voitures de course], les autobus ou les camions")</f>
        <v xml:space="preserve">   Chambres à air, en caoutchouc, des types utilisés pour les voitures de tourisme [y.c. les voitures du type 'break' et les voitures de course], les autobus ou les camions</v>
      </c>
      <c r="C5739">
        <v>48639</v>
      </c>
      <c r="D5739">
        <v>134</v>
      </c>
    </row>
    <row r="5740" spans="1:4" x14ac:dyDescent="0.25">
      <c r="A5740" t="str">
        <f>T("   401390")</f>
        <v xml:space="preserve">   401390</v>
      </c>
      <c r="B5740" t="str">
        <f>T("   Chambres à air, en caoutchouc (à l'excl. des chambres à air des types utilisés pour les voitures de tourisme, les voitures du type 'break', les voitures de course, les autobus, les camions et les bicyclettes)")</f>
        <v xml:space="preserve">   Chambres à air, en caoutchouc (à l'excl. des chambres à air des types utilisés pour les voitures de tourisme, les voitures du type 'break', les voitures de course, les autobus, les camions et les bicyclettes)</v>
      </c>
      <c r="C5740">
        <v>2027400</v>
      </c>
      <c r="D5740">
        <v>11000</v>
      </c>
    </row>
    <row r="5741" spans="1:4" x14ac:dyDescent="0.25">
      <c r="A5741" t="str">
        <f>T("   401410")</f>
        <v xml:space="preserve">   401410</v>
      </c>
      <c r="B5741" t="str">
        <f>T("   Préservatifs en caoutchouc vulcanisé non durci")</f>
        <v xml:space="preserve">   Préservatifs en caoutchouc vulcanisé non durci</v>
      </c>
      <c r="C5741">
        <v>13694209</v>
      </c>
      <c r="D5741">
        <v>2170</v>
      </c>
    </row>
    <row r="5742" spans="1:4" x14ac:dyDescent="0.25">
      <c r="A5742" t="str">
        <f>T("   401693")</f>
        <v xml:space="preserve">   401693</v>
      </c>
      <c r="B5742" t="str">
        <f>T("   Joints en caoutchouc vulcanisé non durci (à l'excl. des articles en caoutchouc alvéolaire)")</f>
        <v xml:space="preserve">   Joints en caoutchouc vulcanisé non durci (à l'excl. des articles en caoutchouc alvéolaire)</v>
      </c>
      <c r="C5742">
        <v>833</v>
      </c>
      <c r="D5742">
        <v>0.4</v>
      </c>
    </row>
    <row r="5743" spans="1:4" x14ac:dyDescent="0.25">
      <c r="A5743" t="str">
        <f>T("   420212")</f>
        <v xml:space="preserve">   420212</v>
      </c>
      <c r="B5743" t="str">
        <f>T("   Malles, valises et mallettes, y.c. les mallettes de toilette et les mallettes porte-documents, serviettes, cartables et contenants simil., à surface extérieure en matières plastiques ou en matières textiles")</f>
        <v xml:space="preserve">   Malles, valises et mallettes, y.c. les mallettes de toilette et les mallettes porte-documents, serviettes, cartables et contenants simil., à surface extérieure en matières plastiques ou en matières textiles</v>
      </c>
      <c r="C5743">
        <v>239676</v>
      </c>
      <c r="D5743">
        <v>200</v>
      </c>
    </row>
    <row r="5744" spans="1:4" x14ac:dyDescent="0.25">
      <c r="A5744" t="str">
        <f>T("   420219")</f>
        <v xml:space="preserve">   420219</v>
      </c>
      <c r="B5744" t="s">
        <v>161</v>
      </c>
      <c r="C5744">
        <v>5244266</v>
      </c>
      <c r="D5744">
        <v>5600</v>
      </c>
    </row>
    <row r="5745" spans="1:4" x14ac:dyDescent="0.25">
      <c r="A5745" t="str">
        <f>T("   420229")</f>
        <v xml:space="preserve">   420229</v>
      </c>
      <c r="B5745" t="str">
        <f>T("   Sacs à main, même à bandoulière, y.c. ceux sans poignée, à surface extérieure en fibre vulcanisée ou en carton, ou recouverts, en totalité ou en majeure partie, de ces mêmes matières ou de papier")</f>
        <v xml:space="preserve">   Sacs à main, même à bandoulière, y.c. ceux sans poignée, à surface extérieure en fibre vulcanisée ou en carton, ou recouverts, en totalité ou en majeure partie, de ces mêmes matières ou de papier</v>
      </c>
      <c r="C5745">
        <v>22378716</v>
      </c>
      <c r="D5745">
        <v>43865</v>
      </c>
    </row>
    <row r="5746" spans="1:4" x14ac:dyDescent="0.25">
      <c r="A5746" t="str">
        <f>T("   420299")</f>
        <v xml:space="preserve">   420299</v>
      </c>
      <c r="B5746" t="s">
        <v>164</v>
      </c>
      <c r="C5746">
        <v>771042</v>
      </c>
      <c r="D5746">
        <v>1355</v>
      </c>
    </row>
    <row r="5747" spans="1:4" x14ac:dyDescent="0.25">
      <c r="A5747" t="str">
        <f>T("   420330")</f>
        <v xml:space="preserve">   420330</v>
      </c>
      <c r="B5747" t="str">
        <f>T("   Ceintures, ceinturons et baudriers, en cuir naturel ou reconstitué")</f>
        <v xml:space="preserve">   Ceintures, ceinturons et baudriers, en cuir naturel ou reconstitué</v>
      </c>
      <c r="C5747">
        <v>142857</v>
      </c>
      <c r="D5747">
        <v>247</v>
      </c>
    </row>
    <row r="5748" spans="1:4" x14ac:dyDescent="0.25">
      <c r="A5748" t="str">
        <f>T("   420340")</f>
        <v xml:space="preserve">   420340</v>
      </c>
      <c r="B5748" t="s">
        <v>165</v>
      </c>
      <c r="C5748">
        <v>275000</v>
      </c>
      <c r="D5748">
        <v>500</v>
      </c>
    </row>
    <row r="5749" spans="1:4" x14ac:dyDescent="0.25">
      <c r="A5749" t="str">
        <f>T("   442190")</f>
        <v xml:space="preserve">   442190</v>
      </c>
      <c r="B5749" t="str">
        <f>T("   Ouvrages, en bois, n.d.a.")</f>
        <v xml:space="preserve">   Ouvrages, en bois, n.d.a.</v>
      </c>
      <c r="C5749">
        <v>824341</v>
      </c>
      <c r="D5749">
        <v>158</v>
      </c>
    </row>
    <row r="5750" spans="1:4" x14ac:dyDescent="0.25">
      <c r="A5750" t="str">
        <f>T("   480421")</f>
        <v xml:space="preserve">   480421</v>
      </c>
      <c r="B5750" t="str">
        <f>T("   PAPIERS KRAFT POUR SACS DE GRANDE CONTENANCE, ÉCRUS, NON-COUCHÉS NI ENDUITS, EN ROULEAUX D'UNE LARGEUR &gt; 36 CM (À L'EXCL. DES ARTICLES DU N° 4802, 4803 OU 4808)")</f>
        <v xml:space="preserve">   PAPIERS KRAFT POUR SACS DE GRANDE CONTENANCE, ÉCRUS, NON-COUCHÉS NI ENDUITS, EN ROULEAUX D'UNE LARGEUR &gt; 36 CM (À L'EXCL. DES ARTICLES DU N° 4802, 4803 OU 4808)</v>
      </c>
      <c r="C5750">
        <v>242548131</v>
      </c>
      <c r="D5750">
        <v>467551</v>
      </c>
    </row>
    <row r="5751" spans="1:4" x14ac:dyDescent="0.25">
      <c r="A5751" t="str">
        <f>T("   481820")</f>
        <v xml:space="preserve">   481820</v>
      </c>
      <c r="B5751" t="str">
        <f>T("   Mouchoirs, serviettes à démaquiller et essuie-mains, en pâte à papier, papier, ouate de cellulose ou nappes de fibres de cellulose")</f>
        <v xml:space="preserve">   Mouchoirs, serviettes à démaquiller et essuie-mains, en pâte à papier, papier, ouate de cellulose ou nappes de fibres de cellulose</v>
      </c>
      <c r="C5751">
        <v>4998094</v>
      </c>
      <c r="D5751">
        <v>7336</v>
      </c>
    </row>
    <row r="5752" spans="1:4" x14ac:dyDescent="0.25">
      <c r="A5752" t="str">
        <f>T("   481840")</f>
        <v xml:space="preserve">   481840</v>
      </c>
      <c r="B5752" t="str">
        <f>T("   Serviettes et tampons hygiéniques, couches pour bébés et articles hygiéniques simil., en pâte à papier, papier, ouate de cellulose ou nappes de fibres de cellulose")</f>
        <v xml:space="preserve">   Serviettes et tampons hygiéniques, couches pour bébés et articles hygiéniques simil., en pâte à papier, papier, ouate de cellulose ou nappes de fibres de cellulose</v>
      </c>
      <c r="C5752">
        <v>299594</v>
      </c>
      <c r="D5752">
        <v>485</v>
      </c>
    </row>
    <row r="5753" spans="1:4" x14ac:dyDescent="0.25">
      <c r="A5753" t="str">
        <f>T("   481920")</f>
        <v xml:space="preserve">   481920</v>
      </c>
      <c r="B5753" t="str">
        <f>T("   Boîtes et cartonnages, pliants, en papier ou en carton non ondulé")</f>
        <v xml:space="preserve">   Boîtes et cartonnages, pliants, en papier ou en carton non ondulé</v>
      </c>
      <c r="C5753">
        <v>5000</v>
      </c>
      <c r="D5753">
        <v>15</v>
      </c>
    </row>
    <row r="5754" spans="1:4" x14ac:dyDescent="0.25">
      <c r="A5754" t="str">
        <f>T("   482190")</f>
        <v xml:space="preserve">   482190</v>
      </c>
      <c r="B5754" t="str">
        <f>T("   ÉTIQUETTES DE TOUS GENRES, EN PAPIER OU EN CARTON, NON-IMPRIMÉES")</f>
        <v xml:space="preserve">   ÉTIQUETTES DE TOUS GENRES, EN PAPIER OU EN CARTON, NON-IMPRIMÉES</v>
      </c>
      <c r="C5754">
        <v>2255822</v>
      </c>
      <c r="D5754">
        <v>660</v>
      </c>
    </row>
    <row r="5755" spans="1:4" x14ac:dyDescent="0.25">
      <c r="A5755" t="str">
        <f>T("   490110")</f>
        <v xml:space="preserve">   490110</v>
      </c>
      <c r="B5755" t="str">
        <f>T("   Livres, brochures et imprimés simil., en feuillets isolés, même pliés (à l'excl. des publications périodiques et des publications à usages principalement publicitaires)")</f>
        <v xml:space="preserve">   Livres, brochures et imprimés simil., en feuillets isolés, même pliés (à l'excl. des publications périodiques et des publications à usages principalement publicitaires)</v>
      </c>
      <c r="C5755">
        <v>1046907</v>
      </c>
      <c r="D5755">
        <v>170</v>
      </c>
    </row>
    <row r="5756" spans="1:4" x14ac:dyDescent="0.25">
      <c r="A5756" t="str">
        <f>T("   490199")</f>
        <v xml:space="preserve">   490199</v>
      </c>
      <c r="B5756"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5756">
        <v>3682452</v>
      </c>
      <c r="D5756">
        <v>2500</v>
      </c>
    </row>
    <row r="5757" spans="1:4" x14ac:dyDescent="0.25">
      <c r="A5757" t="str">
        <f>T("   490290")</f>
        <v xml:space="preserve">   490290</v>
      </c>
      <c r="B5757" t="str">
        <f>T("   Journaux et publications périodiques imprimés, même illustrés ou contenant de la publicité (à l'excl. des journaux et publications paraissant au moins quatre fois par semaine)")</f>
        <v xml:space="preserve">   Journaux et publications périodiques imprimés, même illustrés ou contenant de la publicité (à l'excl. des journaux et publications paraissant au moins quatre fois par semaine)</v>
      </c>
      <c r="C5757">
        <v>4694456</v>
      </c>
      <c r="D5757">
        <v>1200</v>
      </c>
    </row>
    <row r="5758" spans="1:4" x14ac:dyDescent="0.25">
      <c r="A5758" t="str">
        <f>T("   491000")</f>
        <v xml:space="preserve">   491000</v>
      </c>
      <c r="B5758" t="str">
        <f>T("   Calendriers de tous genres, imprimés, y.c. les blocs de calendriers à effeuiller")</f>
        <v xml:space="preserve">   Calendriers de tous genres, imprimés, y.c. les blocs de calendriers à effeuiller</v>
      </c>
      <c r="C5758">
        <v>295432</v>
      </c>
      <c r="D5758">
        <v>857</v>
      </c>
    </row>
    <row r="5759" spans="1:4" x14ac:dyDescent="0.25">
      <c r="A5759" t="str">
        <f>T("   491199")</f>
        <v xml:space="preserve">   491199</v>
      </c>
      <c r="B5759" t="str">
        <f>T("   Imprimés, n.d.a.")</f>
        <v xml:space="preserve">   Imprimés, n.d.a.</v>
      </c>
      <c r="C5759">
        <v>102726603</v>
      </c>
      <c r="D5759">
        <v>13720</v>
      </c>
    </row>
    <row r="5760" spans="1:4" x14ac:dyDescent="0.25">
      <c r="A5760" t="str">
        <f>T("   560121")</f>
        <v xml:space="preserve">   560121</v>
      </c>
      <c r="B5760" t="s">
        <v>241</v>
      </c>
      <c r="C5760">
        <v>9054</v>
      </c>
      <c r="D5760">
        <v>2</v>
      </c>
    </row>
    <row r="5761" spans="1:4" x14ac:dyDescent="0.25">
      <c r="A5761" t="str">
        <f>T("   560790")</f>
        <v xml:space="preserve">   560790</v>
      </c>
      <c r="B5761" t="str">
        <f>T("   FICELLES, CORDES ET CORDAGES, TRESSÉS OU NON, MÊME IMPRÉGNÉS, ENDUITS, RECOUVERTS OU GAINÉS DE CAOUTCHOUC OU DE MATIÈRE PLASTIQUE (À L'EXCL. DES PRODUITS DE FIBRES SYNTHÉTIQUES AINSI QUE DE SISAL OU D'AUTRES FIBRES TEXTILES DU GENRE 'AGAVE')")</f>
        <v xml:space="preserve">   FICELLES, CORDES ET CORDAGES, TRESSÉS OU NON, MÊME IMPRÉGNÉS, ENDUITS, RECOUVERTS OU GAINÉS DE CAOUTCHOUC OU DE MATIÈRE PLASTIQUE (À L'EXCL. DES PRODUITS DE FIBRES SYNTHÉTIQUES AINSI QUE DE SISAL OU D'AUTRES FIBRES TEXTILES DU GENRE 'AGAVE')</v>
      </c>
      <c r="C5761">
        <v>273312</v>
      </c>
      <c r="D5761">
        <v>7</v>
      </c>
    </row>
    <row r="5762" spans="1:4" x14ac:dyDescent="0.25">
      <c r="A5762" t="str">
        <f>T("   570299")</f>
        <v xml:space="preserve">   570299</v>
      </c>
      <c r="B5762" t="s">
        <v>248</v>
      </c>
      <c r="C5762">
        <v>204081</v>
      </c>
      <c r="D5762">
        <v>39</v>
      </c>
    </row>
    <row r="5763" spans="1:4" x14ac:dyDescent="0.25">
      <c r="A5763" t="str">
        <f>T("   610610")</f>
        <v xml:space="preserve">   610610</v>
      </c>
      <c r="B5763" t="str">
        <f>T("   Chemisiers, blouses, blouses-chemisiers et chemisettes, en bonneterie, de coton, pour femmes ou fillettes (sauf T-shirts et gilets de corps)")</f>
        <v xml:space="preserve">   Chemisiers, blouses, blouses-chemisiers et chemisettes, en bonneterie, de coton, pour femmes ou fillettes (sauf T-shirts et gilets de corps)</v>
      </c>
      <c r="C5763">
        <v>253107</v>
      </c>
      <c r="D5763">
        <v>3</v>
      </c>
    </row>
    <row r="5764" spans="1:4" x14ac:dyDescent="0.25">
      <c r="A5764" t="str">
        <f>T("   611490")</f>
        <v xml:space="preserve">   611490</v>
      </c>
      <c r="B5764" t="str">
        <f>T("   Vêtements spéciaux destinés à des fins professionnelles, sportives ou autres n.d.a., en bonneterie, de matières textiles (sauf de laine, poils fins, coton, fibres synthétiques ou artificielles)")</f>
        <v xml:space="preserve">   Vêtements spéciaux destinés à des fins professionnelles, sportives ou autres n.d.a., en bonneterie, de matières textiles (sauf de laine, poils fins, coton, fibres synthétiques ou artificielles)</v>
      </c>
      <c r="C5764">
        <v>256480</v>
      </c>
      <c r="D5764">
        <v>550</v>
      </c>
    </row>
    <row r="5765" spans="1:4" x14ac:dyDescent="0.25">
      <c r="A5765" t="str">
        <f>T("   620329")</f>
        <v xml:space="preserve">   620329</v>
      </c>
      <c r="B5765" t="str">
        <f>T("   ENSEMBLES DE MATIÈRES TEXTILES, POUR HOMMES OU GARÇONNETS (AUTRES QUE DE COTON OU FIBRES SYNTHÉTIQUES, AUTRES QU'EN BONNETERIE ET SAUF ENSEMBLES DE SKI ET MAILLOTS, CULOTTES ET SLIPS DE BAIN)")</f>
        <v xml:space="preserve">   ENSEMBLES DE MATIÈRES TEXTILES, POUR HOMMES OU GARÇONNETS (AUTRES QUE DE COTON OU FIBRES SYNTHÉTIQUES, AUTRES QU'EN BONNETERIE ET SAUF ENSEMBLES DE SKI ET MAILLOTS, CULOTTES ET SLIPS DE BAIN)</v>
      </c>
      <c r="C5765">
        <v>2850000</v>
      </c>
      <c r="D5765">
        <v>15000</v>
      </c>
    </row>
    <row r="5766" spans="1:4" x14ac:dyDescent="0.25">
      <c r="A5766" t="str">
        <f>T("   620590")</f>
        <v xml:space="preserve">   620590</v>
      </c>
      <c r="B5766"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5766">
        <v>855314</v>
      </c>
      <c r="D5766">
        <v>2167</v>
      </c>
    </row>
    <row r="5767" spans="1:4" x14ac:dyDescent="0.25">
      <c r="A5767" t="str">
        <f>T("   621040")</f>
        <v xml:space="preserve">   621040</v>
      </c>
      <c r="B5767" t="s">
        <v>272</v>
      </c>
      <c r="C5767">
        <v>19566262</v>
      </c>
      <c r="D5767">
        <v>9561</v>
      </c>
    </row>
    <row r="5768" spans="1:4" x14ac:dyDescent="0.25">
      <c r="A5768" t="str">
        <f>T("   621131")</f>
        <v xml:space="preserve">   621131</v>
      </c>
      <c r="B5768" t="str">
        <f>T("   Survêtements de sport 'trainings' et autres vêtements n.d.a., de laine ou poils fins, pour hommes ou garçonnets (autres qu'en bonneterie)")</f>
        <v xml:space="preserve">   Survêtements de sport 'trainings' et autres vêtements n.d.a., de laine ou poils fins, pour hommes ou garçonnets (autres qu'en bonneterie)</v>
      </c>
      <c r="C5768">
        <v>1500000</v>
      </c>
      <c r="D5768">
        <v>1061</v>
      </c>
    </row>
    <row r="5769" spans="1:4" x14ac:dyDescent="0.25">
      <c r="A5769" t="str">
        <f>T("   621139")</f>
        <v xml:space="preserve">   621139</v>
      </c>
      <c r="B5769" t="str">
        <f>T("   Survêtements de sport 'trainings' et autres vêtements n.d.a., de matières textiles, pour hommes ou garçonnets (autres que de laine, poils fins, coton, fibres synthétiques ou artificielles, autres qu'en bonneterie)")</f>
        <v xml:space="preserve">   Survêtements de sport 'trainings' et autres vêtements n.d.a., de matières textiles, pour hommes ou garçonnets (autres que de laine, poils fins, coton, fibres synthétiques ou artificielles, autres qu'en bonneterie)</v>
      </c>
      <c r="C5769">
        <v>394846</v>
      </c>
      <c r="D5769">
        <v>11</v>
      </c>
    </row>
    <row r="5770" spans="1:4" x14ac:dyDescent="0.25">
      <c r="A5770" t="str">
        <f>T("   621790")</f>
        <v xml:space="preserve">   621790</v>
      </c>
      <c r="B5770" t="str">
        <f>T("   Parties de vêtements ou d'accessoires du vêtement, en tous types de matières textiles, n.d.a. (autres qu'en bonneterie)")</f>
        <v xml:space="preserve">   Parties de vêtements ou d'accessoires du vêtement, en tous types de matières textiles, n.d.a. (autres qu'en bonneterie)</v>
      </c>
      <c r="C5770">
        <v>84850</v>
      </c>
      <c r="D5770">
        <v>49</v>
      </c>
    </row>
    <row r="5771" spans="1:4" x14ac:dyDescent="0.25">
      <c r="A5771" t="str">
        <f>T("   630140")</f>
        <v xml:space="preserve">   630140</v>
      </c>
      <c r="B5771" t="str">
        <f>T("   Couvertures de fibres synthétiques (autres que chauffantes électriques et sauf linge de table, couvre-lits, linge de lit et les articles simil. du n° 9404 [sommiers et autres articles de literie])")</f>
        <v xml:space="preserve">   Couvertures de fibres synthétiques (autres que chauffantes électriques et sauf linge de table, couvre-lits, linge de lit et les articles simil. du n° 9404 [sommiers et autres articles de literie])</v>
      </c>
      <c r="C5771">
        <v>83826</v>
      </c>
      <c r="D5771">
        <v>636</v>
      </c>
    </row>
    <row r="5772" spans="1:4" x14ac:dyDescent="0.25">
      <c r="A5772" t="str">
        <f>T("   630210")</f>
        <v xml:space="preserve">   630210</v>
      </c>
      <c r="B5772" t="str">
        <f>T("   LINGE DE LIT EN BONNETERIE")</f>
        <v xml:space="preserve">   LINGE DE LIT EN BONNETERIE</v>
      </c>
      <c r="C5772">
        <v>20000</v>
      </c>
      <c r="D5772">
        <v>50</v>
      </c>
    </row>
    <row r="5773" spans="1:4" x14ac:dyDescent="0.25">
      <c r="A5773" t="str">
        <f>T("   630510")</f>
        <v xml:space="preserve">   630510</v>
      </c>
      <c r="B5773" t="str">
        <f>T("   Sacs et sachets d'emballage de jute ou d'autres fibres textiles libériennes du n° 5303")</f>
        <v xml:space="preserve">   Sacs et sachets d'emballage de jute ou d'autres fibres textiles libériennes du n° 5303</v>
      </c>
      <c r="C5773">
        <v>30264721</v>
      </c>
      <c r="D5773">
        <v>97125</v>
      </c>
    </row>
    <row r="5774" spans="1:4" x14ac:dyDescent="0.25">
      <c r="A5774" t="str">
        <f>T("   630533")</f>
        <v xml:space="preserve">   630533</v>
      </c>
      <c r="B5774" t="str">
        <f>T("   Sacs et sachets d'emballage obtenus à partir de lames ou formes simil., de polyéthylène ou polypropylène (à l'excl. des contenants souples pour matières en vrac)")</f>
        <v xml:space="preserve">   Sacs et sachets d'emballage obtenus à partir de lames ou formes simil., de polyéthylène ou polypropylène (à l'excl. des contenants souples pour matières en vrac)</v>
      </c>
      <c r="C5774">
        <v>305698</v>
      </c>
      <c r="D5774">
        <v>937</v>
      </c>
    </row>
    <row r="5775" spans="1:4" x14ac:dyDescent="0.25">
      <c r="A5775" t="str">
        <f>T("   630539")</f>
        <v xml:space="preserve">   630539</v>
      </c>
      <c r="B5775" t="str">
        <f>T("   Sacs et sachets d'emballage de matières synthétiques ou artificielles (autres qu'en lames ou formes simil. de polyéthylène ou de polypropylène ainsi que contenants souples pour matières en vrac)")</f>
        <v xml:space="preserve">   Sacs et sachets d'emballage de matières synthétiques ou artificielles (autres qu'en lames ou formes simil. de polyéthylène ou de polypropylène ainsi que contenants souples pour matières en vrac)</v>
      </c>
      <c r="C5775">
        <v>200000</v>
      </c>
      <c r="D5775">
        <v>500</v>
      </c>
    </row>
    <row r="5776" spans="1:4" x14ac:dyDescent="0.25">
      <c r="A5776" t="str">
        <f>T("   630629")</f>
        <v xml:space="preserve">   630629</v>
      </c>
      <c r="B5776" t="str">
        <f>T("   Tentes de matières textiles (autres que de coton ou fibres synthétiques et sauf paravents)")</f>
        <v xml:space="preserve">   Tentes de matières textiles (autres que de coton ou fibres synthétiques et sauf paravents)</v>
      </c>
      <c r="C5776">
        <v>200369</v>
      </c>
      <c r="D5776">
        <v>645</v>
      </c>
    </row>
    <row r="5777" spans="1:4" x14ac:dyDescent="0.25">
      <c r="A5777" t="str">
        <f>T("   630900")</f>
        <v xml:space="preserve">   630900</v>
      </c>
      <c r="B5777" t="s">
        <v>280</v>
      </c>
      <c r="C5777">
        <v>11100077599</v>
      </c>
      <c r="D5777">
        <v>17659021</v>
      </c>
    </row>
    <row r="5778" spans="1:4" x14ac:dyDescent="0.25">
      <c r="A5778" t="str">
        <f>T("   640590")</f>
        <v xml:space="preserve">   640590</v>
      </c>
      <c r="B5778" t="s">
        <v>290</v>
      </c>
      <c r="C5778">
        <v>34994810</v>
      </c>
      <c r="D5778">
        <v>38685</v>
      </c>
    </row>
    <row r="5779" spans="1:4" x14ac:dyDescent="0.25">
      <c r="A5779" t="str">
        <f>T("   680911")</f>
        <v xml:space="preserve">   680911</v>
      </c>
      <c r="B5779" t="s">
        <v>300</v>
      </c>
      <c r="C5779">
        <v>2072879</v>
      </c>
      <c r="D5779">
        <v>399</v>
      </c>
    </row>
    <row r="5780" spans="1:4" x14ac:dyDescent="0.25">
      <c r="A5780" t="str">
        <f>T("   691200")</f>
        <v xml:space="preserve">   691200</v>
      </c>
      <c r="B5780" t="s">
        <v>316</v>
      </c>
      <c r="C5780">
        <v>72886</v>
      </c>
      <c r="D5780">
        <v>15</v>
      </c>
    </row>
    <row r="5781" spans="1:4" x14ac:dyDescent="0.25">
      <c r="A5781" t="str">
        <f>T("   701339")</f>
        <v xml:space="preserve">   701339</v>
      </c>
      <c r="B5781" t="s">
        <v>327</v>
      </c>
      <c r="C5781">
        <v>894665</v>
      </c>
      <c r="D5781">
        <v>533</v>
      </c>
    </row>
    <row r="5782" spans="1:4" x14ac:dyDescent="0.25">
      <c r="A5782" t="str">
        <f>T("   720917")</f>
        <v xml:space="preserve">   720917</v>
      </c>
      <c r="B5782" t="str">
        <f>T("   PRODUITS LAMINÉS PLATS, EN FER OU EN ACIERS NON-ALLIÉS, D'UNE LARGEUR &gt;= 600 MM, NON-PLAQUÉS NI REVÊTUS, ENROULÉS, SIMPL. LAMINÉS À FROID, D'UNE ÉPAISSEUR &gt;= 0,5 MM MAIS &lt;= 1 MM")</f>
        <v xml:space="preserve">   PRODUITS LAMINÉS PLATS, EN FER OU EN ACIERS NON-ALLIÉS, D'UNE LARGEUR &gt;= 600 MM, NON-PLAQUÉS NI REVÊTUS, ENROULÉS, SIMPL. LAMINÉS À FROID, D'UNE ÉPAISSEUR &gt;= 0,5 MM MAIS &lt;= 1 MM</v>
      </c>
      <c r="C5782">
        <v>24040744</v>
      </c>
      <c r="D5782">
        <v>60080</v>
      </c>
    </row>
    <row r="5783" spans="1:4" x14ac:dyDescent="0.25">
      <c r="A5783" t="str">
        <f>T("   721049")</f>
        <v xml:space="preserve">   721049</v>
      </c>
      <c r="B5783" t="str">
        <f>T("   Produits laminés plats, en fer ou en aciers non alliés, d'une largeur &gt;= 600 mm, laminés à chaud ou à froid, zingués, non ondulés (à l'excl. des produits zingués électrolytiquement)")</f>
        <v xml:space="preserve">   Produits laminés plats, en fer ou en aciers non alliés, d'une largeur &gt;= 600 mm, laminés à chaud ou à froid, zingués, non ondulés (à l'excl. des produits zingués électrolytiquement)</v>
      </c>
      <c r="C5783">
        <v>130734573</v>
      </c>
      <c r="D5783">
        <v>204975</v>
      </c>
    </row>
    <row r="5784" spans="1:4" x14ac:dyDescent="0.25">
      <c r="A5784" t="str">
        <f>T("   721730")</f>
        <v xml:space="preserve">   721730</v>
      </c>
      <c r="B5784" t="str">
        <f>T("   FILS EN FER OU EN ACIERS NON-ALLIÉS, ENROULÉS, REVÊTUS DE MÉTAUX COMMUNS (À L'EXCL. DES FILS ZINGUÉS AINSI QUE DU FIL MACHINE)")</f>
        <v xml:space="preserve">   FILS EN FER OU EN ACIERS NON-ALLIÉS, ENROULÉS, REVÊTUS DE MÉTAUX COMMUNS (À L'EXCL. DES FILS ZINGUÉS AINSI QUE DU FIL MACHINE)</v>
      </c>
      <c r="C5784">
        <v>18235688</v>
      </c>
      <c r="D5784">
        <v>21298</v>
      </c>
    </row>
    <row r="5785" spans="1:4" x14ac:dyDescent="0.25">
      <c r="A5785" t="str">
        <f>T("   721790")</f>
        <v xml:space="preserve">   721790</v>
      </c>
      <c r="B5785" t="str">
        <f>T("   FILS EN FER OU EN ACIERS NON-ALLIÉS, ENROULÉS, REVÊTUS (À L'EXCL. DU FIL MACHINE AINSI QUE DES FILS REVÊTUS DE MÉTAUX COMMUNS)")</f>
        <v xml:space="preserve">   FILS EN FER OU EN ACIERS NON-ALLIÉS, ENROULÉS, REVÊTUS (À L'EXCL. DU FIL MACHINE AINSI QUE DES FILS REVÊTUS DE MÉTAUX COMMUNS)</v>
      </c>
      <c r="C5785">
        <v>100000</v>
      </c>
      <c r="D5785">
        <v>200</v>
      </c>
    </row>
    <row r="5786" spans="1:4" x14ac:dyDescent="0.25">
      <c r="A5786" t="str">
        <f>T("   731413")</f>
        <v xml:space="preserve">   731413</v>
      </c>
      <c r="B5786" t="str">
        <f>T("   Toiles métalliques continues ou sans fin, pour machines, en fils de fer ou d'aciers autre qu'inoxydables")</f>
        <v xml:space="preserve">   Toiles métalliques continues ou sans fin, pour machines, en fils de fer ou d'aciers autre qu'inoxydables</v>
      </c>
      <c r="C5786">
        <v>15000</v>
      </c>
      <c r="D5786">
        <v>10</v>
      </c>
    </row>
    <row r="5787" spans="1:4" x14ac:dyDescent="0.25">
      <c r="A5787" t="str">
        <f>T("   731815")</f>
        <v xml:space="preserve">   731815</v>
      </c>
      <c r="B5787" t="s">
        <v>354</v>
      </c>
      <c r="C5787">
        <v>568700</v>
      </c>
      <c r="D5787">
        <v>68</v>
      </c>
    </row>
    <row r="5788" spans="1:4" x14ac:dyDescent="0.25">
      <c r="A5788" t="str">
        <f>T("   731819")</f>
        <v xml:space="preserve">   731819</v>
      </c>
      <c r="B5788" t="str">
        <f>T("   Articles de boulonnerie et de visserie, filetés, en fonte, fer ou acier, n.d.a.")</f>
        <v xml:space="preserve">   Articles de boulonnerie et de visserie, filetés, en fonte, fer ou acier, n.d.a.</v>
      </c>
      <c r="C5788">
        <v>752622</v>
      </c>
      <c r="D5788">
        <v>31</v>
      </c>
    </row>
    <row r="5789" spans="1:4" x14ac:dyDescent="0.25">
      <c r="A5789" t="str">
        <f>T("   732111")</f>
        <v xml:space="preserve">   732111</v>
      </c>
      <c r="B5789" t="s">
        <v>356</v>
      </c>
      <c r="C5789">
        <v>1184186</v>
      </c>
      <c r="D5789">
        <v>505</v>
      </c>
    </row>
    <row r="5790" spans="1:4" x14ac:dyDescent="0.25">
      <c r="A5790" t="str">
        <f>T("   732393")</f>
        <v xml:space="preserve">   732393</v>
      </c>
      <c r="B5790" t="s">
        <v>360</v>
      </c>
      <c r="C5790">
        <v>25583</v>
      </c>
      <c r="D5790">
        <v>30</v>
      </c>
    </row>
    <row r="5791" spans="1:4" x14ac:dyDescent="0.25">
      <c r="A5791" t="str">
        <f>T("   732394")</f>
        <v xml:space="preserve">   732394</v>
      </c>
      <c r="B5791" t="s">
        <v>361</v>
      </c>
      <c r="C5791">
        <v>362060</v>
      </c>
      <c r="D5791">
        <v>2737</v>
      </c>
    </row>
    <row r="5792" spans="1:4" x14ac:dyDescent="0.25">
      <c r="A5792" t="str">
        <f>T("   732399")</f>
        <v xml:space="preserve">   732399</v>
      </c>
      <c r="B5792" t="s">
        <v>362</v>
      </c>
      <c r="C5792">
        <v>3594750</v>
      </c>
      <c r="D5792">
        <v>5239</v>
      </c>
    </row>
    <row r="5793" spans="1:4" x14ac:dyDescent="0.25">
      <c r="A5793" t="str">
        <f>T("   732690")</f>
        <v xml:space="preserve">   732690</v>
      </c>
      <c r="B5793"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5793">
        <v>1956346</v>
      </c>
      <c r="D5793">
        <v>188</v>
      </c>
    </row>
    <row r="5794" spans="1:4" x14ac:dyDescent="0.25">
      <c r="A5794" t="str">
        <f>T("   741700")</f>
        <v xml:space="preserve">   741700</v>
      </c>
      <c r="B5794" t="str">
        <f>T("   Appareils de cuisson ou de chauffage, non-électriques, des types servant à des usages domestiques, et leurs parties, en cuivre (à l'excl. des chauffe-eau et des fours à bain)")</f>
        <v xml:space="preserve">   Appareils de cuisson ou de chauffage, non-électriques, des types servant à des usages domestiques, et leurs parties, en cuivre (à l'excl. des chauffe-eau et des fours à bain)</v>
      </c>
      <c r="C5794">
        <v>257903</v>
      </c>
      <c r="D5794">
        <v>748</v>
      </c>
    </row>
    <row r="5795" spans="1:4" x14ac:dyDescent="0.25">
      <c r="A5795" t="str">
        <f>T("   761090")</f>
        <v xml:space="preserve">   761090</v>
      </c>
      <c r="B5795" t="str">
        <f>T("   Constructions et parties de constructions, en aluminium, n.d.a., ainsi que tôles, barres, profilés, tubes, tuyaux et simil., en aluminium, n.d.a; (sauf constructions préfabriquées du n° 9406, portes, fenêtres et leurs cadres, chambranles et seuils)")</f>
        <v xml:space="preserve">   Constructions et parties de constructions, en aluminium, n.d.a., ainsi que tôles, barres, profilés, tubes, tuyaux et simil., en aluminium, n.d.a; (sauf constructions préfabriquées du n° 9406, portes, fenêtres et leurs cadres, chambranles et seuils)</v>
      </c>
      <c r="C5795">
        <v>14214597</v>
      </c>
      <c r="D5795">
        <v>2200</v>
      </c>
    </row>
    <row r="5796" spans="1:4" x14ac:dyDescent="0.25">
      <c r="A5796" t="str">
        <f>T("   820210")</f>
        <v xml:space="preserve">   820210</v>
      </c>
      <c r="B5796" t="str">
        <f>T("   Scies à main, avec partie travaillante en métaux communs (à l'excl. des tronçonneuses)")</f>
        <v xml:space="preserve">   Scies à main, avec partie travaillante en métaux communs (à l'excl. des tronçonneuses)</v>
      </c>
      <c r="C5796">
        <v>1061949</v>
      </c>
      <c r="D5796">
        <v>204</v>
      </c>
    </row>
    <row r="5797" spans="1:4" x14ac:dyDescent="0.25">
      <c r="A5797" t="str">
        <f>T("   820551")</f>
        <v xml:space="preserve">   820551</v>
      </c>
      <c r="B5797" t="str">
        <f>T("   Outils à main d'économie domestique, non mécaniques, avec partie travaillante en métaux communs, n.d.a.")</f>
        <v xml:space="preserve">   Outils à main d'économie domestique, non mécaniques, avec partie travaillante en métaux communs, n.d.a.</v>
      </c>
      <c r="C5797">
        <v>678859</v>
      </c>
      <c r="D5797">
        <v>7</v>
      </c>
    </row>
    <row r="5798" spans="1:4" x14ac:dyDescent="0.25">
      <c r="A5798" t="str">
        <f>T("   821210")</f>
        <v xml:space="preserve">   821210</v>
      </c>
      <c r="B5798" t="str">
        <f>T("   Rasoirs et rasoirs de sûreté non-électriques, en métaux communs")</f>
        <v xml:space="preserve">   Rasoirs et rasoirs de sûreté non-électriques, en métaux communs</v>
      </c>
      <c r="C5798">
        <v>4021</v>
      </c>
      <c r="D5798">
        <v>2</v>
      </c>
    </row>
    <row r="5799" spans="1:4" x14ac:dyDescent="0.25">
      <c r="A5799" t="str">
        <f>T("   821490")</f>
        <v xml:space="preserve">   821490</v>
      </c>
      <c r="B5799" t="str">
        <f>T("   Tondeuses de coiffeur et autres articles à couper, n.d.a., en métaux communs")</f>
        <v xml:space="preserve">   Tondeuses de coiffeur et autres articles à couper, n.d.a., en métaux communs</v>
      </c>
      <c r="C5799">
        <v>45000</v>
      </c>
      <c r="D5799">
        <v>300</v>
      </c>
    </row>
    <row r="5800" spans="1:4" x14ac:dyDescent="0.25">
      <c r="A5800" t="str">
        <f>T("   840820")</f>
        <v xml:space="preserve">   840820</v>
      </c>
      <c r="B5800" t="s">
        <v>388</v>
      </c>
      <c r="C5800">
        <v>1082500</v>
      </c>
      <c r="D5800">
        <v>550</v>
      </c>
    </row>
    <row r="5801" spans="1:4" x14ac:dyDescent="0.25">
      <c r="A5801" t="str">
        <f>T("   841330")</f>
        <v xml:space="preserve">   841330</v>
      </c>
      <c r="B5801" t="str">
        <f>T("   Pompes à carburant, à huile ou à liquide de refroidissement pour moteurs à allumage par étincelles ou par compression")</f>
        <v xml:space="preserve">   Pompes à carburant, à huile ou à liquide de refroidissement pour moteurs à allumage par étincelles ou par compression</v>
      </c>
      <c r="C5801">
        <v>45424</v>
      </c>
      <c r="D5801">
        <v>1</v>
      </c>
    </row>
    <row r="5802" spans="1:4" x14ac:dyDescent="0.25">
      <c r="A5802" t="str">
        <f>T("   841381")</f>
        <v xml:space="preserve">   841381</v>
      </c>
      <c r="B5802" t="s">
        <v>393</v>
      </c>
      <c r="C5802">
        <v>645045</v>
      </c>
      <c r="D5802">
        <v>522</v>
      </c>
    </row>
    <row r="5803" spans="1:4" x14ac:dyDescent="0.25">
      <c r="A5803" t="str">
        <f>T("   841430")</f>
        <v xml:space="preserve">   841430</v>
      </c>
      <c r="B5803" t="str">
        <f>T("   Compresseurs des types utilisés pour équipements frigorifiques")</f>
        <v xml:space="preserve">   Compresseurs des types utilisés pour équipements frigorifiques</v>
      </c>
      <c r="C5803">
        <v>1175197</v>
      </c>
      <c r="D5803">
        <v>3118</v>
      </c>
    </row>
    <row r="5804" spans="1:4" x14ac:dyDescent="0.25">
      <c r="A5804" t="str">
        <f>T("   841451")</f>
        <v xml:space="preserve">   841451</v>
      </c>
      <c r="B5804" t="str">
        <f>T("   Ventilateurs de table, de sol, muraux, plafonniers, de toitures ou de fenêtres, à moteur électrique incorporé, d'une puissance &lt;= 125 W")</f>
        <v xml:space="preserve">   Ventilateurs de table, de sol, muraux, plafonniers, de toitures ou de fenêtres, à moteur électrique incorporé, d'une puissance &lt;= 125 W</v>
      </c>
      <c r="C5804">
        <v>386193</v>
      </c>
      <c r="D5804">
        <v>165</v>
      </c>
    </row>
    <row r="5805" spans="1:4" x14ac:dyDescent="0.25">
      <c r="A5805" t="str">
        <f>T("   841459")</f>
        <v xml:space="preserve">   841459</v>
      </c>
      <c r="B5805" t="str">
        <f>T("   Ventilateurs (sauf ventilateurs de table, de sol, muraux, plafonniers, de toitures ou de fenêtres, à moteur électrique incorporé, d'une puissance &lt;= 125 W)")</f>
        <v xml:space="preserve">   Ventilateurs (sauf ventilateurs de table, de sol, muraux, plafonniers, de toitures ou de fenêtres, à moteur électrique incorporé, d'une puissance &lt;= 125 W)</v>
      </c>
      <c r="C5805">
        <v>7416963</v>
      </c>
      <c r="D5805">
        <v>4288</v>
      </c>
    </row>
    <row r="5806" spans="1:4" x14ac:dyDescent="0.25">
      <c r="A5806" t="str">
        <f>T("   841510")</f>
        <v xml:space="preserve">   841510</v>
      </c>
      <c r="B5806" t="s">
        <v>395</v>
      </c>
      <c r="C5806">
        <v>4994232</v>
      </c>
      <c r="D5806">
        <v>2802</v>
      </c>
    </row>
    <row r="5807" spans="1:4" x14ac:dyDescent="0.25">
      <c r="A5807" t="str">
        <f>T("   841582")</f>
        <v xml:space="preserve">   841582</v>
      </c>
      <c r="B5807" t="s">
        <v>397</v>
      </c>
      <c r="C5807">
        <v>974888</v>
      </c>
      <c r="D5807">
        <v>429</v>
      </c>
    </row>
    <row r="5808" spans="1:4" x14ac:dyDescent="0.25">
      <c r="A5808" t="str">
        <f>T("   841810")</f>
        <v xml:space="preserve">   841810</v>
      </c>
      <c r="B5808" t="str">
        <f>T("   Réfrigérateurs et congélateurs-conservateurs combinés, avec portes extérieures séparées")</f>
        <v xml:space="preserve">   Réfrigérateurs et congélateurs-conservateurs combinés, avec portes extérieures séparées</v>
      </c>
      <c r="C5808">
        <v>15205469</v>
      </c>
      <c r="D5808">
        <v>7002</v>
      </c>
    </row>
    <row r="5809" spans="1:4" x14ac:dyDescent="0.25">
      <c r="A5809" t="str">
        <f>T("   841829")</f>
        <v xml:space="preserve">   841829</v>
      </c>
      <c r="B5809" t="str">
        <f>T("   Réfrigérateurs ménagers à absorption, non-électriques")</f>
        <v xml:space="preserve">   Réfrigérateurs ménagers à absorption, non-électriques</v>
      </c>
      <c r="C5809">
        <v>153408762</v>
      </c>
      <c r="D5809">
        <v>645859</v>
      </c>
    </row>
    <row r="5810" spans="1:4" x14ac:dyDescent="0.25">
      <c r="A5810" t="str">
        <f>T("   841830")</f>
        <v xml:space="preserve">   841830</v>
      </c>
      <c r="B5810" t="str">
        <f>T("   Meubles congélateurs-conservateurs du type coffre, capacité &lt;= 800 l")</f>
        <v xml:space="preserve">   Meubles congélateurs-conservateurs du type coffre, capacité &lt;= 800 l</v>
      </c>
      <c r="C5810">
        <v>448147</v>
      </c>
      <c r="D5810">
        <v>1050</v>
      </c>
    </row>
    <row r="5811" spans="1:4" x14ac:dyDescent="0.25">
      <c r="A5811" t="str">
        <f>T("   841850")</f>
        <v xml:space="preserve">   841850</v>
      </c>
      <c r="B5811" t="s">
        <v>400</v>
      </c>
      <c r="C5811">
        <v>2741303</v>
      </c>
      <c r="D5811">
        <v>1205</v>
      </c>
    </row>
    <row r="5812" spans="1:4" x14ac:dyDescent="0.25">
      <c r="A5812" t="str">
        <f>T("   841989")</f>
        <v xml:space="preserve">   841989</v>
      </c>
      <c r="B5812" t="s">
        <v>401</v>
      </c>
      <c r="C5812">
        <v>100000</v>
      </c>
      <c r="D5812">
        <v>100</v>
      </c>
    </row>
    <row r="5813" spans="1:4" x14ac:dyDescent="0.25">
      <c r="A5813" t="str">
        <f>T("   842131")</f>
        <v xml:space="preserve">   842131</v>
      </c>
      <c r="B5813" t="str">
        <f>T("   Filtres d'entrée d'air pour moteurs à allumage par étincelles ou par compression")</f>
        <v xml:space="preserve">   Filtres d'entrée d'air pour moteurs à allumage par étincelles ou par compression</v>
      </c>
      <c r="C5813">
        <v>3538760</v>
      </c>
      <c r="D5813">
        <v>147</v>
      </c>
    </row>
    <row r="5814" spans="1:4" x14ac:dyDescent="0.25">
      <c r="A5814" t="str">
        <f>T("   842139")</f>
        <v xml:space="preserve">   842139</v>
      </c>
      <c r="B5814" t="str">
        <f>T("   Appareils pour la filtration ou l'épuration des gaz (autres que pour la séparation isotopique et sauf les filtres d'entrée d'air pour moteurs à allumage par étincelles ou par compression)")</f>
        <v xml:space="preserve">   Appareils pour la filtration ou l'épuration des gaz (autres que pour la séparation isotopique et sauf les filtres d'entrée d'air pour moteurs à allumage par étincelles ou par compression)</v>
      </c>
      <c r="C5814">
        <v>240495</v>
      </c>
      <c r="D5814">
        <v>11</v>
      </c>
    </row>
    <row r="5815" spans="1:4" x14ac:dyDescent="0.25">
      <c r="A5815" t="str">
        <f>T("   842290")</f>
        <v xml:space="preserve">   842290</v>
      </c>
      <c r="B5815" t="str">
        <f>T("   Parties des machines à laver la vaisselle, des machines à empaqueter ou à emballer les marchandises et autres machines et appareils du n° 8422, n.d.a.")</f>
        <v xml:space="preserve">   Parties des machines à laver la vaisselle, des machines à empaqueter ou à emballer les marchandises et autres machines et appareils du n° 8422, n.d.a.</v>
      </c>
      <c r="C5815">
        <v>482918</v>
      </c>
      <c r="D5815">
        <v>3</v>
      </c>
    </row>
    <row r="5816" spans="1:4" x14ac:dyDescent="0.25">
      <c r="A5816" t="str">
        <f>T("   842390")</f>
        <v xml:space="preserve">   842390</v>
      </c>
      <c r="B5816" t="str">
        <f>T("   Poids pour balances de tous genres; parties d'appareils et instruments de pesage, n.d.a.")</f>
        <v xml:space="preserve">   Poids pour balances de tous genres; parties d'appareils et instruments de pesage, n.d.a.</v>
      </c>
      <c r="C5816">
        <v>476122</v>
      </c>
      <c r="D5816">
        <v>90</v>
      </c>
    </row>
    <row r="5817" spans="1:4" x14ac:dyDescent="0.25">
      <c r="A5817" t="str">
        <f>T("   842839")</f>
        <v xml:space="preserve">   842839</v>
      </c>
      <c r="B5817" t="str">
        <f>T("   Appareils élévateurs, transporteurs ou convoyeurs pour marchandises, à action continue (autres que conçus pour mines au fond ou pour autres travaux souterrains, autres qu'à benne, à bande ou à courroie et autres que pneumatiques)")</f>
        <v xml:space="preserve">   Appareils élévateurs, transporteurs ou convoyeurs pour marchandises, à action continue (autres que conçus pour mines au fond ou pour autres travaux souterrains, autres qu'à benne, à bande ou à courroie et autres que pneumatiques)</v>
      </c>
      <c r="C5817">
        <v>158742320</v>
      </c>
      <c r="D5817">
        <v>28000</v>
      </c>
    </row>
    <row r="5818" spans="1:4" x14ac:dyDescent="0.25">
      <c r="A5818" t="str">
        <f>T("   842840")</f>
        <v xml:space="preserve">   842840</v>
      </c>
      <c r="B5818" t="str">
        <f>T("   Escaliers mécaniques et trottoirs roulants")</f>
        <v xml:space="preserve">   Escaliers mécaniques et trottoirs roulants</v>
      </c>
      <c r="C5818">
        <v>14791898</v>
      </c>
      <c r="D5818">
        <v>3500</v>
      </c>
    </row>
    <row r="5819" spans="1:4" x14ac:dyDescent="0.25">
      <c r="A5819" t="str">
        <f>T("   843120")</f>
        <v xml:space="preserve">   843120</v>
      </c>
      <c r="B5819" t="str">
        <f>T("   Parties de chariots-gerbeurs et autres chariots de manutention munis d'un dispositif de levage, n.d.a.")</f>
        <v xml:space="preserve">   Parties de chariots-gerbeurs et autres chariots de manutention munis d'un dispositif de levage, n.d.a.</v>
      </c>
      <c r="C5819">
        <v>57801891</v>
      </c>
      <c r="D5819">
        <v>3047.9</v>
      </c>
    </row>
    <row r="5820" spans="1:4" x14ac:dyDescent="0.25">
      <c r="A5820" t="str">
        <f>T("   843139")</f>
        <v xml:space="preserve">   843139</v>
      </c>
      <c r="B5820" t="str">
        <f>T("   Parties de machines et appareils du n° 8428, n.d.a.")</f>
        <v xml:space="preserve">   Parties de machines et appareils du n° 8428, n.d.a.</v>
      </c>
      <c r="C5820">
        <v>11369931</v>
      </c>
      <c r="D5820">
        <v>690.9</v>
      </c>
    </row>
    <row r="5821" spans="1:4" x14ac:dyDescent="0.25">
      <c r="A5821" t="str">
        <f>T("   843149")</f>
        <v xml:space="preserve">   843149</v>
      </c>
      <c r="B5821" t="str">
        <f>T("   Parties de machines et appareils du n° 8426, 8429 ou 8430, n.d.a.")</f>
        <v xml:space="preserve">   Parties de machines et appareils du n° 8426, 8429 ou 8430, n.d.a.</v>
      </c>
      <c r="C5821">
        <v>4943733</v>
      </c>
      <c r="D5821">
        <v>481</v>
      </c>
    </row>
    <row r="5822" spans="1:4" x14ac:dyDescent="0.25">
      <c r="A5822" t="str">
        <f>T("   843810")</f>
        <v xml:space="preserve">   843810</v>
      </c>
      <c r="B5822" t="s">
        <v>413</v>
      </c>
      <c r="C5822">
        <v>4106112</v>
      </c>
      <c r="D5822">
        <v>3300</v>
      </c>
    </row>
    <row r="5823" spans="1:4" x14ac:dyDescent="0.25">
      <c r="A5823" t="str">
        <f>T("   844390")</f>
        <v xml:space="preserve">   844390</v>
      </c>
      <c r="B5823" t="str">
        <f>T("   Parties de machines et appareils à imprimer et de leur machines et appareils auxiliaires, n.d.a.")</f>
        <v xml:space="preserve">   Parties de machines et appareils à imprimer et de leur machines et appareils auxiliaires, n.d.a.</v>
      </c>
      <c r="C5823">
        <v>1960000</v>
      </c>
      <c r="D5823">
        <v>300</v>
      </c>
    </row>
    <row r="5824" spans="1:4" x14ac:dyDescent="0.25">
      <c r="A5824" t="str">
        <f>T("   845019")</f>
        <v xml:space="preserve">   845019</v>
      </c>
      <c r="B5824" t="str">
        <f>T("   Machines à laver le linge d'une capacité unitaire exprimée en poids de linge sec &lt;= 6 kg (à l'excl. des machines entièrement automatiques et des machines à laver le linge avec essoreuse centrifuge incorporée)")</f>
        <v xml:space="preserve">   Machines à laver le linge d'une capacité unitaire exprimée en poids de linge sec &lt;= 6 kg (à l'excl. des machines entièrement automatiques et des machines à laver le linge avec essoreuse centrifuge incorporée)</v>
      </c>
      <c r="C5824">
        <v>1172361</v>
      </c>
      <c r="D5824">
        <v>515</v>
      </c>
    </row>
    <row r="5825" spans="1:4" x14ac:dyDescent="0.25">
      <c r="A5825" t="str">
        <f>T("   845130")</f>
        <v xml:space="preserve">   845130</v>
      </c>
      <c r="B5825" t="str">
        <f>T("   Machines et presses à repasser, y.c. les presses à fixer (à l'excl. des calandres à catir ou à repasser)")</f>
        <v xml:space="preserve">   Machines et presses à repasser, y.c. les presses à fixer (à l'excl. des calandres à catir ou à repasser)</v>
      </c>
      <c r="C5825">
        <v>25000</v>
      </c>
      <c r="D5825">
        <v>10</v>
      </c>
    </row>
    <row r="5826" spans="1:4" x14ac:dyDescent="0.25">
      <c r="A5826" t="str">
        <f>T("   845210")</f>
        <v xml:space="preserve">   845210</v>
      </c>
      <c r="B5826" t="str">
        <f>T("   Machines à coudre de type ménager")</f>
        <v xml:space="preserve">   Machines à coudre de type ménager</v>
      </c>
      <c r="C5826">
        <v>36443</v>
      </c>
      <c r="D5826">
        <v>200</v>
      </c>
    </row>
    <row r="5827" spans="1:4" x14ac:dyDescent="0.25">
      <c r="A5827" t="str">
        <f>T("   845229")</f>
        <v xml:space="preserve">   845229</v>
      </c>
      <c r="B5827" t="str">
        <f>T("   Machines à coudre de type industriel (sauf unités automatiques)")</f>
        <v xml:space="preserve">   Machines à coudre de type industriel (sauf unités automatiques)</v>
      </c>
      <c r="C5827">
        <v>30175</v>
      </c>
      <c r="D5827">
        <v>25</v>
      </c>
    </row>
    <row r="5828" spans="1:4" x14ac:dyDescent="0.25">
      <c r="A5828" t="str">
        <f>T("   847110")</f>
        <v xml:space="preserve">   847110</v>
      </c>
      <c r="B5828" t="str">
        <f>T("   Machines automatiques de traitement de l'information, analogiques ou hybrides")</f>
        <v xml:space="preserve">   Machines automatiques de traitement de l'information, analogiques ou hybrides</v>
      </c>
      <c r="C5828">
        <v>3744883</v>
      </c>
      <c r="D5828">
        <v>14460</v>
      </c>
    </row>
    <row r="5829" spans="1:4" x14ac:dyDescent="0.25">
      <c r="A5829" t="str">
        <f>T("   847130")</f>
        <v xml:space="preserve">   847130</v>
      </c>
      <c r="B5829" t="str">
        <f>T("   Machines automatiques de traitement de l'information numériques, portatives, d'un poids &lt;= 10 kg, comportant au moins une unité centrale de traitement, un clavier et un écran (à l'excl. des unités périphériques)")</f>
        <v xml:space="preserve">   Machines automatiques de traitement de l'information numériques, portatives, d'un poids &lt;= 10 kg, comportant au moins une unité centrale de traitement, un clavier et un écran (à l'excl. des unités périphériques)</v>
      </c>
      <c r="C5829">
        <v>38496134</v>
      </c>
      <c r="D5829">
        <v>45310</v>
      </c>
    </row>
    <row r="5830" spans="1:4" x14ac:dyDescent="0.25">
      <c r="A5830" t="str">
        <f>T("   847149")</f>
        <v xml:space="preserve">   847149</v>
      </c>
      <c r="B5830" t="s">
        <v>434</v>
      </c>
      <c r="C5830">
        <v>2722113</v>
      </c>
      <c r="D5830">
        <v>2771</v>
      </c>
    </row>
    <row r="5831" spans="1:4" x14ac:dyDescent="0.25">
      <c r="A5831" t="str">
        <f>T("   847150")</f>
        <v xml:space="preserve">   847150</v>
      </c>
      <c r="B5831" t="s">
        <v>435</v>
      </c>
      <c r="C5831">
        <v>437316</v>
      </c>
      <c r="D5831">
        <v>1200</v>
      </c>
    </row>
    <row r="5832" spans="1:4" x14ac:dyDescent="0.25">
      <c r="A5832" t="str">
        <f>T("   847160")</f>
        <v xml:space="preserve">   847160</v>
      </c>
      <c r="B5832" t="str">
        <f>T("   UNITÉS D'ENTRÉE OU DE SORTIE POUR MACHINES AUTOMATIQUES DE TRAITEMENT DE L'INFORMATION, POUVANT COMPORTER, SOUS LA MÊME ENVELOPPE, DES UNITÉS DE MÉMOIRE")</f>
        <v xml:space="preserve">   UNITÉS D'ENTRÉE OU DE SORTIE POUR MACHINES AUTOMATIQUES DE TRAITEMENT DE L'INFORMATION, POUVANT COMPORTER, SOUS LA MÊME ENVELOPPE, DES UNITÉS DE MÉMOIRE</v>
      </c>
      <c r="C5832">
        <v>4734600</v>
      </c>
      <c r="D5832">
        <v>289</v>
      </c>
    </row>
    <row r="5833" spans="1:4" x14ac:dyDescent="0.25">
      <c r="A5833" t="str">
        <f>T("   847170")</f>
        <v xml:space="preserve">   847170</v>
      </c>
      <c r="B5833" t="str">
        <f>T("   UNITÉS DE MÉMOIRE POUR MACHINES AUTOMATIQUES DE TRAITEMENT DE L'INFORMATION")</f>
        <v xml:space="preserve">   UNITÉS DE MÉMOIRE POUR MACHINES AUTOMATIQUES DE TRAITEMENT DE L'INFORMATION</v>
      </c>
      <c r="C5833">
        <v>763538</v>
      </c>
      <c r="D5833">
        <v>4</v>
      </c>
    </row>
    <row r="5834" spans="1:4" x14ac:dyDescent="0.25">
      <c r="A5834" t="str">
        <f>T("   847180")</f>
        <v xml:space="preserve">   847180</v>
      </c>
      <c r="B5834" t="str">
        <f>T("   Unités de machines automatiques de traitement de l'information, numériques (à l'excl. des unités de traitement, unités d'entrée ou de sortie et unités de mémoire)")</f>
        <v xml:space="preserve">   Unités de machines automatiques de traitement de l'information, numériques (à l'excl. des unités de traitement, unités d'entrée ou de sortie et unités de mémoire)</v>
      </c>
      <c r="C5834">
        <v>4819490</v>
      </c>
      <c r="D5834">
        <v>2821.78</v>
      </c>
    </row>
    <row r="5835" spans="1:4" x14ac:dyDescent="0.25">
      <c r="A5835" t="str">
        <f>T("   847190")</f>
        <v xml:space="preserve">   847190</v>
      </c>
      <c r="B5835"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5835">
        <v>4089553</v>
      </c>
      <c r="D5835">
        <v>2538.6</v>
      </c>
    </row>
    <row r="5836" spans="1:4" x14ac:dyDescent="0.25">
      <c r="A5836" t="str">
        <f>T("   847989")</f>
        <v xml:space="preserve">   847989</v>
      </c>
      <c r="B5836" t="str">
        <f>T("   Machines et appareils, y.c. les appareils mécaniques, n.d.a.")</f>
        <v xml:space="preserve">   Machines et appareils, y.c. les appareils mécaniques, n.d.a.</v>
      </c>
      <c r="C5836">
        <v>11208528</v>
      </c>
      <c r="D5836">
        <v>2010</v>
      </c>
    </row>
    <row r="5837" spans="1:4" x14ac:dyDescent="0.25">
      <c r="A5837" t="str">
        <f>T("   848180")</f>
        <v xml:space="preserve">   848180</v>
      </c>
      <c r="B5837" t="str">
        <f>T("   Articles de robinetterie et organes simil. pour tuyauteries, etc. (à l'excl. des détendeurs, valves pour transmissions oléohydrauliques ou pneumatiques, clapets et soupapes de retenue et sauf soupapes de trop-plein ou de sûreté)")</f>
        <v xml:space="preserve">   Articles de robinetterie et organes simil. pour tuyauteries, etc. (à l'excl. des détendeurs, valves pour transmissions oléohydrauliques ou pneumatiques, clapets et soupapes de retenue et sauf soupapes de trop-plein ou de sûreté)</v>
      </c>
      <c r="C5837">
        <v>2521812</v>
      </c>
      <c r="D5837">
        <v>349</v>
      </c>
    </row>
    <row r="5838" spans="1:4" x14ac:dyDescent="0.25">
      <c r="A5838" t="str">
        <f>T("   848490")</f>
        <v xml:space="preserve">   848490</v>
      </c>
      <c r="B5838" t="str">
        <f>T("   Jeux ou assortiments de joints de composition différente présentés en pochettes, enveloppes ou emballages analogues")</f>
        <v xml:space="preserve">   Jeux ou assortiments de joints de composition différente présentés en pochettes, enveloppes ou emballages analogues</v>
      </c>
      <c r="C5838">
        <v>536437</v>
      </c>
      <c r="D5838">
        <v>21</v>
      </c>
    </row>
    <row r="5839" spans="1:4" x14ac:dyDescent="0.25">
      <c r="A5839" t="str">
        <f>T("   850211")</f>
        <v xml:space="preserve">   850211</v>
      </c>
      <c r="B5839" t="s">
        <v>444</v>
      </c>
      <c r="C5839">
        <v>77059076</v>
      </c>
      <c r="D5839">
        <v>20370</v>
      </c>
    </row>
    <row r="5840" spans="1:4" x14ac:dyDescent="0.25">
      <c r="A5840" t="str">
        <f>T("   850239")</f>
        <v xml:space="preserve">   850239</v>
      </c>
      <c r="B5840" t="str">
        <f>T("   Groupes électrogènes (autres qu'à énergie éolienne et à moteurs à piston)")</f>
        <v xml:space="preserve">   Groupes électrogènes (autres qu'à énergie éolienne et à moteurs à piston)</v>
      </c>
      <c r="C5840">
        <v>1869291</v>
      </c>
      <c r="D5840">
        <v>8810</v>
      </c>
    </row>
    <row r="5841" spans="1:4" x14ac:dyDescent="0.25">
      <c r="A5841" t="str">
        <f>T("   850440")</f>
        <v xml:space="preserve">   850440</v>
      </c>
      <c r="B5841" t="str">
        <f>T("   CONVERTISSEURS STATIQUES")</f>
        <v xml:space="preserve">   CONVERTISSEURS STATIQUES</v>
      </c>
      <c r="C5841">
        <v>651601</v>
      </c>
      <c r="D5841">
        <v>125</v>
      </c>
    </row>
    <row r="5842" spans="1:4" x14ac:dyDescent="0.25">
      <c r="A5842" t="str">
        <f>T("   850680")</f>
        <v xml:space="preserve">   850680</v>
      </c>
      <c r="B5842" t="str">
        <f>T("   Piles et batteries de piles électriques (sauf hors d'usage et autres que piles et batteries à l'oxyde d'argent, de mercure, au bioxyde de manganèse, au lithium et à l'air-zinc)")</f>
        <v xml:space="preserve">   Piles et batteries de piles électriques (sauf hors d'usage et autres que piles et batteries à l'oxyde d'argent, de mercure, au bioxyde de manganèse, au lithium et à l'air-zinc)</v>
      </c>
      <c r="C5842">
        <v>878331</v>
      </c>
      <c r="D5842">
        <v>8</v>
      </c>
    </row>
    <row r="5843" spans="1:4" x14ac:dyDescent="0.25">
      <c r="A5843" t="str">
        <f>T("   850780")</f>
        <v xml:space="preserve">   850780</v>
      </c>
      <c r="B5843" t="str">
        <f>T("   Accumulateurs électriques (sauf hors d'usage et autres qu'au plomb, au nickel-cadmium ou au nickel-fer)")</f>
        <v xml:space="preserve">   Accumulateurs électriques (sauf hors d'usage et autres qu'au plomb, au nickel-cadmium ou au nickel-fer)</v>
      </c>
      <c r="C5843">
        <v>144311</v>
      </c>
      <c r="D5843">
        <v>175</v>
      </c>
    </row>
    <row r="5844" spans="1:4" x14ac:dyDescent="0.25">
      <c r="A5844" t="str">
        <f>T("   850940")</f>
        <v xml:space="preserve">   850940</v>
      </c>
      <c r="B5844" t="str">
        <f>T("   Broyeurs et mélangeurs pour aliments; presse-fruits et presse-légumes à moteur électrique incorporé, à usage domestique")</f>
        <v xml:space="preserve">   Broyeurs et mélangeurs pour aliments; presse-fruits et presse-légumes à moteur électrique incorporé, à usage domestique</v>
      </c>
      <c r="C5844">
        <v>9075978</v>
      </c>
      <c r="D5844">
        <v>10771</v>
      </c>
    </row>
    <row r="5845" spans="1:4" x14ac:dyDescent="0.25">
      <c r="A5845" t="str">
        <f>T("   851629")</f>
        <v xml:space="preserve">   851629</v>
      </c>
      <c r="B5845" t="str">
        <f>T("   Appareils électriques pour le chauffage des locaux, du sol ou pour usages simil. (sauf radiateurs à accumulation)")</f>
        <v xml:space="preserve">   Appareils électriques pour le chauffage des locaux, du sol ou pour usages simil. (sauf radiateurs à accumulation)</v>
      </c>
      <c r="C5845">
        <v>100000</v>
      </c>
      <c r="D5845">
        <v>500</v>
      </c>
    </row>
    <row r="5846" spans="1:4" x14ac:dyDescent="0.25">
      <c r="A5846" t="str">
        <f>T("   851631")</f>
        <v xml:space="preserve">   851631</v>
      </c>
      <c r="B5846" t="str">
        <f>T("   Sèche-cheveux électriques")</f>
        <v xml:space="preserve">   Sèche-cheveux électriques</v>
      </c>
      <c r="C5846">
        <v>236588</v>
      </c>
      <c r="D5846">
        <v>2540</v>
      </c>
    </row>
    <row r="5847" spans="1:4" x14ac:dyDescent="0.25">
      <c r="A5847" t="str">
        <f>T("   851640")</f>
        <v xml:space="preserve">   851640</v>
      </c>
      <c r="B5847" t="str">
        <f>T("   Fers à repasser électriques")</f>
        <v xml:space="preserve">   Fers à repasser électriques</v>
      </c>
      <c r="C5847">
        <v>5798450</v>
      </c>
      <c r="D5847">
        <v>5384</v>
      </c>
    </row>
    <row r="5848" spans="1:4" x14ac:dyDescent="0.25">
      <c r="A5848" t="str">
        <f>T("   851650")</f>
        <v xml:space="preserve">   851650</v>
      </c>
      <c r="B5848" t="str">
        <f>T("   Fours à micro-ondes")</f>
        <v xml:space="preserve">   Fours à micro-ondes</v>
      </c>
      <c r="C5848">
        <v>4476665</v>
      </c>
      <c r="D5848">
        <v>7331</v>
      </c>
    </row>
    <row r="5849" spans="1:4" x14ac:dyDescent="0.25">
      <c r="A5849" t="str">
        <f>T("   851719")</f>
        <v xml:space="preserve">   851719</v>
      </c>
      <c r="B5849" t="str">
        <f>T("   Postes téléphoniques d'usagers pour la téléphonie par fil; visiophones (sauf postes téléphoniques d'usagers par fil à combinés sans fil et parlophones)")</f>
        <v xml:space="preserve">   Postes téléphoniques d'usagers pour la téléphonie par fil; visiophones (sauf postes téléphoniques d'usagers par fil à combinés sans fil et parlophones)</v>
      </c>
      <c r="C5849">
        <v>454079</v>
      </c>
      <c r="D5849">
        <v>200</v>
      </c>
    </row>
    <row r="5850" spans="1:4" x14ac:dyDescent="0.25">
      <c r="A5850" t="str">
        <f>T("   851721")</f>
        <v xml:space="preserve">   851721</v>
      </c>
      <c r="B5850" t="str">
        <f>T("   Télécopieurs pour la téléphonie par fil")</f>
        <v xml:space="preserve">   Télécopieurs pour la téléphonie par fil</v>
      </c>
      <c r="C5850">
        <v>238433</v>
      </c>
      <c r="D5850">
        <v>102</v>
      </c>
    </row>
    <row r="5851" spans="1:4" x14ac:dyDescent="0.25">
      <c r="A5851" t="str">
        <f>T("   851750")</f>
        <v xml:space="preserve">   851750</v>
      </c>
      <c r="B5851" t="s">
        <v>452</v>
      </c>
      <c r="C5851">
        <v>50509</v>
      </c>
      <c r="D5851">
        <v>25</v>
      </c>
    </row>
    <row r="5852" spans="1:4" x14ac:dyDescent="0.25">
      <c r="A5852" t="str">
        <f>T("   851780")</f>
        <v xml:space="preserve">   851780</v>
      </c>
      <c r="B5852" t="s">
        <v>453</v>
      </c>
      <c r="C5852">
        <v>3580746</v>
      </c>
      <c r="D5852">
        <v>57.3</v>
      </c>
    </row>
    <row r="5853" spans="1:4" x14ac:dyDescent="0.25">
      <c r="A5853" t="str">
        <f>T("   851790")</f>
        <v xml:space="preserve">   851790</v>
      </c>
      <c r="B5853" t="s">
        <v>454</v>
      </c>
      <c r="C5853">
        <v>2030852</v>
      </c>
      <c r="D5853">
        <v>10</v>
      </c>
    </row>
    <row r="5854" spans="1:4" x14ac:dyDescent="0.25">
      <c r="A5854" t="str">
        <f>T("   851829")</f>
        <v xml:space="preserve">   851829</v>
      </c>
      <c r="B5854" t="str">
        <f>T("   Haut-parleurs sans enceinte")</f>
        <v xml:space="preserve">   Haut-parleurs sans enceinte</v>
      </c>
      <c r="C5854">
        <v>1124136</v>
      </c>
      <c r="D5854">
        <v>1575</v>
      </c>
    </row>
    <row r="5855" spans="1:4" x14ac:dyDescent="0.25">
      <c r="A5855" t="str">
        <f>T("   851890")</f>
        <v xml:space="preserve">   851890</v>
      </c>
      <c r="B5855" t="str">
        <f>T("   Parties de microphones, haut-parleurs, casques d'écoute et écouteurs électro-acoustiques, amplificateurs électriques d'audiofréquence ou appareils électriques d'amplification du son, n.d.a.")</f>
        <v xml:space="preserve">   Parties de microphones, haut-parleurs, casques d'écoute et écouteurs électro-acoustiques, amplificateurs électriques d'audiofréquence ou appareils électriques d'amplification du son, n.d.a.</v>
      </c>
      <c r="C5855">
        <v>341297</v>
      </c>
      <c r="D5855">
        <v>612</v>
      </c>
    </row>
    <row r="5856" spans="1:4" x14ac:dyDescent="0.25">
      <c r="A5856" t="str">
        <f>T("   851999")</f>
        <v xml:space="preserve">   851999</v>
      </c>
      <c r="B5856" t="str">
        <f>T("   Appareils de reproduction du son, n'incorporant pas de dispositif d'enregistrement du son (autres que tourne-disques, électrophones commandés par l'introduction d'une pièce de monnaie ou d'un jeton, machines à dicter et lecteurs de cassettes)")</f>
        <v xml:space="preserve">   Appareils de reproduction du son, n'incorporant pas de dispositif d'enregistrement du son (autres que tourne-disques, électrophones commandés par l'introduction d'une pièce de monnaie ou d'un jeton, machines à dicter et lecteurs de cassettes)</v>
      </c>
      <c r="C5856">
        <v>281407</v>
      </c>
      <c r="D5856">
        <v>150</v>
      </c>
    </row>
    <row r="5857" spans="1:4" x14ac:dyDescent="0.25">
      <c r="A5857" t="str">
        <f>T("   852190")</f>
        <v xml:space="preserve">   852190</v>
      </c>
      <c r="B5857" t="s">
        <v>458</v>
      </c>
      <c r="C5857">
        <v>270439</v>
      </c>
      <c r="D5857">
        <v>115</v>
      </c>
    </row>
    <row r="5858" spans="1:4" x14ac:dyDescent="0.25">
      <c r="A5858" t="str">
        <f>T("   852390")</f>
        <v xml:space="preserve">   852390</v>
      </c>
      <c r="B5858" t="str">
        <f>T("   SUPPORTS PRÉPARÉS POUR L'ENREGISTREMENT DU SON OU POUR ENREGISTREMENTS ANALOGUES, NON-ENREGISTRÉS (AUTRES QUE BANDES ET DISQUES MAGNÉTIQUES, CARTES MUNIES D'UNE PISTE MAGNÉTIQUE ET PRODUITS DU CHAPITRE 37)")</f>
        <v xml:space="preserve">   SUPPORTS PRÉPARÉS POUR L'ENREGISTREMENT DU SON OU POUR ENREGISTREMENTS ANALOGUES, NON-ENREGISTRÉS (AUTRES QUE BANDES ET DISQUES MAGNÉTIQUES, CARTES MUNIES D'UNE PISTE MAGNÉTIQUE ET PRODUITS DU CHAPITRE 37)</v>
      </c>
      <c r="C5858">
        <v>9059</v>
      </c>
      <c r="D5858">
        <v>15</v>
      </c>
    </row>
    <row r="5859" spans="1:4" x14ac:dyDescent="0.25">
      <c r="A5859" t="str">
        <f>T("   852439")</f>
        <v xml:space="preserve">   852439</v>
      </c>
      <c r="B5859" t="str">
        <f>T("   Disques enregistrés pour systèmes de lecture optique par faisceau laser, pour la reproduction du son et de l'image ou de l'image uniquement")</f>
        <v xml:space="preserve">   Disques enregistrés pour systèmes de lecture optique par faisceau laser, pour la reproduction du son et de l'image ou de l'image uniquement</v>
      </c>
      <c r="C5859">
        <v>1000250</v>
      </c>
      <c r="D5859">
        <v>100</v>
      </c>
    </row>
    <row r="5860" spans="1:4" x14ac:dyDescent="0.25">
      <c r="A5860" t="str">
        <f>T("   852530")</f>
        <v xml:space="preserve">   852530</v>
      </c>
      <c r="B5860" t="str">
        <f>T("   Caméras de télévision (à l'excl. de caméscopes)")</f>
        <v xml:space="preserve">   Caméras de télévision (à l'excl. de caméscopes)</v>
      </c>
      <c r="C5860">
        <v>269679</v>
      </c>
      <c r="D5860">
        <v>5</v>
      </c>
    </row>
    <row r="5861" spans="1:4" x14ac:dyDescent="0.25">
      <c r="A5861" t="str">
        <f>T("   852713")</f>
        <v xml:space="preserve">   852713</v>
      </c>
      <c r="B5861" t="str">
        <f>T("   RÉCEPTEURS DE RADIODIFFUSION POUVANT FONCTIONNER SANS SOURCE D'ÉNERGIE EXTÉRIEURE, COMBINÉS À UN APPAREIL D'ENREGISTREMENT OU DE REPRODUCTION DU SON (À L'EXCL. DES RADIOCASSETTES DE POCHE)")</f>
        <v xml:space="preserve">   RÉCEPTEURS DE RADIODIFFUSION POUVANT FONCTIONNER SANS SOURCE D'ÉNERGIE EXTÉRIEURE, COMBINÉS À UN APPAREIL D'ENREGISTREMENT OU DE REPRODUCTION DU SON (À L'EXCL. DES RADIOCASSETTES DE POCHE)</v>
      </c>
      <c r="C5861">
        <v>2970077</v>
      </c>
      <c r="D5861">
        <v>2246</v>
      </c>
    </row>
    <row r="5862" spans="1:4" x14ac:dyDescent="0.25">
      <c r="A5862" t="str">
        <f>T("   852719")</f>
        <v xml:space="preserve">   852719</v>
      </c>
      <c r="B5862" t="str">
        <f>T("   Récepteurs de radiodiffusion pouvant fonctionner sans source d'énergie extérieure, y.c. les appareils recevant également la radiotéléphonie ou la radiotélégraphie, non combinés à un appareil d'enregistrement et de reproduction du son")</f>
        <v xml:space="preserve">   Récepteurs de radiodiffusion pouvant fonctionner sans source d'énergie extérieure, y.c. les appareils recevant également la radiotéléphonie ou la radiotélégraphie, non combinés à un appareil d'enregistrement et de reproduction du son</v>
      </c>
      <c r="C5862">
        <v>20975955</v>
      </c>
      <c r="D5862">
        <v>181690</v>
      </c>
    </row>
    <row r="5863" spans="1:4" x14ac:dyDescent="0.25">
      <c r="A5863" t="str">
        <f>T("   852731")</f>
        <v xml:space="preserve">   852731</v>
      </c>
      <c r="B5863" t="s">
        <v>463</v>
      </c>
      <c r="C5863">
        <v>1098326</v>
      </c>
      <c r="D5863">
        <v>677</v>
      </c>
    </row>
    <row r="5864" spans="1:4" x14ac:dyDescent="0.25">
      <c r="A5864" t="str">
        <f>T("   852812")</f>
        <v xml:space="preserve">   852812</v>
      </c>
      <c r="B5864"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5864">
        <v>68737149</v>
      </c>
      <c r="D5864">
        <v>223052</v>
      </c>
    </row>
    <row r="5865" spans="1:4" x14ac:dyDescent="0.25">
      <c r="A5865" t="str">
        <f>T("   852910")</f>
        <v xml:space="preserve">   852910</v>
      </c>
      <c r="B5865" t="str">
        <f>T("   Antennes et réflecteurs d'antennes de tous types; parties reconnaissables comme étant utilisées conjointement avec ces articles, n.d.a.")</f>
        <v xml:space="preserve">   Antennes et réflecteurs d'antennes de tous types; parties reconnaissables comme étant utilisées conjointement avec ces articles, n.d.a.</v>
      </c>
      <c r="C5865">
        <v>374400</v>
      </c>
      <c r="D5865">
        <v>270</v>
      </c>
    </row>
    <row r="5866" spans="1:4" x14ac:dyDescent="0.25">
      <c r="A5866" t="str">
        <f>T("   853590")</f>
        <v xml:space="preserve">   853590</v>
      </c>
      <c r="B5866" t="s">
        <v>468</v>
      </c>
      <c r="C5866">
        <v>708671</v>
      </c>
      <c r="D5866">
        <v>1977</v>
      </c>
    </row>
    <row r="5867" spans="1:4" x14ac:dyDescent="0.25">
      <c r="A5867" t="str">
        <f>T("   853650")</f>
        <v xml:space="preserve">   853650</v>
      </c>
      <c r="B5867" t="str">
        <f>T("   Interrupteurs, sectionneurs et commutateurs, pour une tension &lt;= 1.000 V (autres que relais et disjoncteurs)")</f>
        <v xml:space="preserve">   Interrupteurs, sectionneurs et commutateurs, pour une tension &lt;= 1.000 V (autres que relais et disjoncteurs)</v>
      </c>
      <c r="C5867">
        <v>677344</v>
      </c>
      <c r="D5867">
        <v>1</v>
      </c>
    </row>
    <row r="5868" spans="1:4" x14ac:dyDescent="0.25">
      <c r="A5868" t="str">
        <f>T("   853669")</f>
        <v xml:space="preserve">   853669</v>
      </c>
      <c r="B5868" t="str">
        <f>T("   Fiches et prises de courant, pour une tension &lt;= 1.000 V (sauf douilles pour lampes)")</f>
        <v xml:space="preserve">   Fiches et prises de courant, pour une tension &lt;= 1.000 V (sauf douilles pour lampes)</v>
      </c>
      <c r="C5868">
        <v>13920</v>
      </c>
      <c r="D5868">
        <v>0.5</v>
      </c>
    </row>
    <row r="5869" spans="1:4" x14ac:dyDescent="0.25">
      <c r="A5869" t="str">
        <f>T("   853690")</f>
        <v xml:space="preserve">   853690</v>
      </c>
      <c r="B5869" t="s">
        <v>469</v>
      </c>
      <c r="C5869">
        <v>440672</v>
      </c>
      <c r="D5869">
        <v>4</v>
      </c>
    </row>
    <row r="5870" spans="1:4" x14ac:dyDescent="0.25">
      <c r="A5870" t="str">
        <f>T("   853990")</f>
        <v xml:space="preserve">   853990</v>
      </c>
      <c r="B5870" t="str">
        <f>T("   Parties de lampes et de tubes à incandescence ou à décharge, de phares et projecteurs scellés, de lampes à rayons ultraviolets et infrarouges et de lampes à arc, n.d.a.")</f>
        <v xml:space="preserve">   Parties de lampes et de tubes à incandescence ou à décharge, de phares et projecteurs scellés, de lampes à rayons ultraviolets et infrarouges et de lampes à arc, n.d.a.</v>
      </c>
      <c r="C5870">
        <v>1635063</v>
      </c>
      <c r="D5870">
        <v>3</v>
      </c>
    </row>
    <row r="5871" spans="1:4" x14ac:dyDescent="0.25">
      <c r="A5871" t="str">
        <f>T("   854389")</f>
        <v xml:space="preserve">   854389</v>
      </c>
      <c r="B5871" t="str">
        <f>T("   MACHINES ET APPAREILS ÉLECTRIQUES AYANT UNE FONCTION PROPRE, N.D.A. DANS LE CHAPITRE 85")</f>
        <v xml:space="preserve">   MACHINES ET APPAREILS ÉLECTRIQUES AYANT UNE FONCTION PROPRE, N.D.A. DANS LE CHAPITRE 85</v>
      </c>
      <c r="C5871">
        <v>513617</v>
      </c>
      <c r="D5871">
        <v>4000</v>
      </c>
    </row>
    <row r="5872" spans="1:4" x14ac:dyDescent="0.25">
      <c r="A5872" t="str">
        <f>T("   854420")</f>
        <v xml:space="preserve">   854420</v>
      </c>
      <c r="B5872" t="str">
        <f>T("   Câbles coaxiaux et autres conducteurs électriques coaxiaux, isolés")</f>
        <v xml:space="preserve">   Câbles coaxiaux et autres conducteurs électriques coaxiaux, isolés</v>
      </c>
      <c r="C5872">
        <v>625130</v>
      </c>
      <c r="D5872">
        <v>4</v>
      </c>
    </row>
    <row r="5873" spans="1:4" x14ac:dyDescent="0.25">
      <c r="A5873" t="str">
        <f>T("   854449")</f>
        <v xml:space="preserve">   854449</v>
      </c>
      <c r="B5873" t="str">
        <f>T("   CONDUCTEURS ÉLECTRIQUES, POUR TENSION &lt;= 1.000 V, ISOLÉS, SANS PIÈCES DE CONNEXION, N.D.A.")</f>
        <v xml:space="preserve">   CONDUCTEURS ÉLECTRIQUES, POUR TENSION &lt;= 1.000 V, ISOLÉS, SANS PIÈCES DE CONNEXION, N.D.A.</v>
      </c>
      <c r="C5873">
        <v>3265621</v>
      </c>
      <c r="D5873">
        <v>302</v>
      </c>
    </row>
    <row r="5874" spans="1:4" x14ac:dyDescent="0.25">
      <c r="A5874" t="str">
        <f>T("   870190")</f>
        <v xml:space="preserve">   870190</v>
      </c>
      <c r="B5874" t="str">
        <f>T("   Tracteurs (à l'excl. des chariots-tracteurs du n° 8709, ainsi que des motoculteurs, tracteurs routiers pour semi-remorques et tracteurs à chenilles)")</f>
        <v xml:space="preserve">   Tracteurs (à l'excl. des chariots-tracteurs du n° 8709, ainsi que des motoculteurs, tracteurs routiers pour semi-remorques et tracteurs à chenilles)</v>
      </c>
      <c r="C5874">
        <v>50508920</v>
      </c>
      <c r="D5874">
        <v>6300</v>
      </c>
    </row>
    <row r="5875" spans="1:4" x14ac:dyDescent="0.25">
      <c r="A5875" t="str">
        <f>T("   870290")</f>
        <v xml:space="preserve">   870290</v>
      </c>
      <c r="B5875" t="s">
        <v>473</v>
      </c>
      <c r="C5875">
        <v>1200000</v>
      </c>
      <c r="D5875">
        <v>2380</v>
      </c>
    </row>
    <row r="5876" spans="1:4" x14ac:dyDescent="0.25">
      <c r="A5876" t="str">
        <f>T("   870322")</f>
        <v xml:space="preserve">   870322</v>
      </c>
      <c r="B5876" t="s">
        <v>475</v>
      </c>
      <c r="C5876">
        <v>22666339</v>
      </c>
      <c r="D5876">
        <v>20445</v>
      </c>
    </row>
    <row r="5877" spans="1:4" x14ac:dyDescent="0.25">
      <c r="A5877" t="str">
        <f>T("   870323")</f>
        <v xml:space="preserve">   870323</v>
      </c>
      <c r="B5877" t="s">
        <v>476</v>
      </c>
      <c r="C5877">
        <v>1200000</v>
      </c>
      <c r="D5877">
        <v>2000</v>
      </c>
    </row>
    <row r="5878" spans="1:4" x14ac:dyDescent="0.25">
      <c r="A5878" t="str">
        <f>T("   870324")</f>
        <v xml:space="preserve">   870324</v>
      </c>
      <c r="B5878" t="s">
        <v>477</v>
      </c>
      <c r="C5878">
        <v>1623297</v>
      </c>
      <c r="D5878">
        <v>2500</v>
      </c>
    </row>
    <row r="5879" spans="1:4" x14ac:dyDescent="0.25">
      <c r="A5879" t="str">
        <f>T("   870431")</f>
        <v xml:space="preserve">   870431</v>
      </c>
      <c r="B5879" t="s">
        <v>484</v>
      </c>
      <c r="C5879">
        <v>3722573</v>
      </c>
      <c r="D5879">
        <v>2630</v>
      </c>
    </row>
    <row r="5880" spans="1:4" x14ac:dyDescent="0.25">
      <c r="A5880" t="str">
        <f>T("   870600")</f>
        <v xml:space="preserve">   870600</v>
      </c>
      <c r="B5880" t="s">
        <v>487</v>
      </c>
      <c r="C5880">
        <v>10954766</v>
      </c>
      <c r="D5880">
        <v>500</v>
      </c>
    </row>
    <row r="5881" spans="1:4" x14ac:dyDescent="0.25">
      <c r="A5881" t="str">
        <f>T("   870899")</f>
        <v xml:space="preserve">   870899</v>
      </c>
      <c r="B5881"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5881">
        <v>500000</v>
      </c>
      <c r="D5881">
        <v>500</v>
      </c>
    </row>
    <row r="5882" spans="1:4" x14ac:dyDescent="0.25">
      <c r="A5882" t="str">
        <f>T("   871120")</f>
        <v xml:space="preserve">   871120</v>
      </c>
      <c r="B5882" t="str">
        <f>T("   Motocycles à moteur à piston alternatif, cylindrée &gt; 50 cm³ mais &lt;= 250 cm³")</f>
        <v xml:space="preserve">   Motocycles à moteur à piston alternatif, cylindrée &gt; 50 cm³ mais &lt;= 250 cm³</v>
      </c>
      <c r="C5882">
        <v>36443</v>
      </c>
      <c r="D5882">
        <v>150</v>
      </c>
    </row>
    <row r="5883" spans="1:4" x14ac:dyDescent="0.25">
      <c r="A5883" t="str">
        <f>T("   871200")</f>
        <v xml:space="preserve">   871200</v>
      </c>
      <c r="B5883" t="str">
        <f>T("   BICYCLETTES ET AUTRES CYCLES, -Y.C. LES TRIPORTEURS-, SANS MOTEUR")</f>
        <v xml:space="preserve">   BICYCLETTES ET AUTRES CYCLES, -Y.C. LES TRIPORTEURS-, SANS MOTEUR</v>
      </c>
      <c r="C5883">
        <v>15266535</v>
      </c>
      <c r="D5883">
        <v>58125</v>
      </c>
    </row>
    <row r="5884" spans="1:4" x14ac:dyDescent="0.25">
      <c r="A5884" t="str">
        <f>T("   871499")</f>
        <v xml:space="preserve">   871499</v>
      </c>
      <c r="B5884" t="str">
        <f>T("   Parties et accessoires, de bicyclettes, n.d.a.")</f>
        <v xml:space="preserve">   Parties et accessoires, de bicyclettes, n.d.a.</v>
      </c>
      <c r="C5884">
        <v>300430</v>
      </c>
      <c r="D5884">
        <v>2000</v>
      </c>
    </row>
    <row r="5885" spans="1:4" x14ac:dyDescent="0.25">
      <c r="A5885" t="str">
        <f>T("   902290")</f>
        <v xml:space="preserve">   902290</v>
      </c>
      <c r="B5885" t="s">
        <v>499</v>
      </c>
      <c r="C5885">
        <v>5620965</v>
      </c>
      <c r="D5885">
        <v>526</v>
      </c>
    </row>
    <row r="5886" spans="1:4" x14ac:dyDescent="0.25">
      <c r="A5886" t="str">
        <f>T("   902480")</f>
        <v xml:space="preserve">   902480</v>
      </c>
      <c r="B5886" t="str">
        <f>T("   Machines et appareils d'essais des propriétés mécaniques des matériaux (autres que les métaux)")</f>
        <v xml:space="preserve">   Machines et appareils d'essais des propriétés mécaniques des matériaux (autres que les métaux)</v>
      </c>
      <c r="C5886">
        <v>6902475</v>
      </c>
      <c r="D5886">
        <v>78</v>
      </c>
    </row>
    <row r="5887" spans="1:4" x14ac:dyDescent="0.25">
      <c r="A5887" t="str">
        <f>T("   903289")</f>
        <v xml:space="preserve">   903289</v>
      </c>
      <c r="B5887" t="s">
        <v>503</v>
      </c>
      <c r="C5887">
        <v>24730547</v>
      </c>
      <c r="D5887">
        <v>13085</v>
      </c>
    </row>
    <row r="5888" spans="1:4" x14ac:dyDescent="0.25">
      <c r="A5888" t="str">
        <f>T("   940350")</f>
        <v xml:space="preserve">   940350</v>
      </c>
      <c r="B5888" t="str">
        <f>T("   Meubles pour chambres à coucher, en bois (sauf sièges)")</f>
        <v xml:space="preserve">   Meubles pour chambres à coucher, en bois (sauf sièges)</v>
      </c>
      <c r="C5888">
        <v>1516028</v>
      </c>
      <c r="D5888">
        <v>1925</v>
      </c>
    </row>
    <row r="5889" spans="1:4" x14ac:dyDescent="0.25">
      <c r="A5889" t="str">
        <f>T("   940360")</f>
        <v xml:space="preserve">   940360</v>
      </c>
      <c r="B5889" t="str">
        <f>T("   Meubles en bois (autres que pour bureaux, cuisines ou chambres à coucher et autres que sièges)")</f>
        <v xml:space="preserve">   Meubles en bois (autres que pour bureaux, cuisines ou chambres à coucher et autres que sièges)</v>
      </c>
      <c r="C5889">
        <v>1475445</v>
      </c>
      <c r="D5889">
        <v>3000</v>
      </c>
    </row>
    <row r="5890" spans="1:4" x14ac:dyDescent="0.25">
      <c r="A5890" t="str">
        <f>T("   940380")</f>
        <v xml:space="preserve">   940380</v>
      </c>
      <c r="B5890" t="str">
        <f>T("   Meubles en rotin, osier, bambou ou autres matières (sauf métal, bois et matières plastiques)")</f>
        <v xml:space="preserve">   Meubles en rotin, osier, bambou ou autres matières (sauf métal, bois et matières plastiques)</v>
      </c>
      <c r="C5890">
        <v>4576215</v>
      </c>
      <c r="D5890">
        <v>21878</v>
      </c>
    </row>
    <row r="5891" spans="1:4" x14ac:dyDescent="0.25">
      <c r="A5891" t="str">
        <f>T("   940410")</f>
        <v xml:space="preserve">   940410</v>
      </c>
      <c r="B5891" t="str">
        <f>T("   Sommiers (sauf ressorts pour sièges)")</f>
        <v xml:space="preserve">   Sommiers (sauf ressorts pour sièges)</v>
      </c>
      <c r="C5891">
        <v>145772</v>
      </c>
      <c r="D5891">
        <v>900</v>
      </c>
    </row>
    <row r="5892" spans="1:4" x14ac:dyDescent="0.25">
      <c r="A5892" t="str">
        <f>T("   940490")</f>
        <v xml:space="preserve">   940490</v>
      </c>
      <c r="B5892" t="s">
        <v>508</v>
      </c>
      <c r="C5892">
        <v>506813</v>
      </c>
      <c r="D5892">
        <v>1719</v>
      </c>
    </row>
    <row r="5893" spans="1:4" x14ac:dyDescent="0.25">
      <c r="A5893" t="str">
        <f>T("   940510")</f>
        <v xml:space="preserve">   940510</v>
      </c>
      <c r="B5893" t="str">
        <f>T("   Lustres et autres appareils d'éclairage électrique à suspendre ou à fixer au plafond ou au mur (sauf pour l'éclairage des espaces et voies publiques)")</f>
        <v xml:space="preserve">   Lustres et autres appareils d'éclairage électrique à suspendre ou à fixer au plafond ou au mur (sauf pour l'éclairage des espaces et voies publiques)</v>
      </c>
      <c r="C5893">
        <v>358096</v>
      </c>
      <c r="D5893">
        <v>1471</v>
      </c>
    </row>
    <row r="5894" spans="1:4" x14ac:dyDescent="0.25">
      <c r="A5894" t="str">
        <f>T("   940540")</f>
        <v xml:space="preserve">   940540</v>
      </c>
      <c r="B5894" t="str">
        <f>T("   Appareils d'éclairage électrique, n.d.a.")</f>
        <v xml:space="preserve">   Appareils d'éclairage électrique, n.d.a.</v>
      </c>
      <c r="C5894">
        <v>1579265</v>
      </c>
      <c r="D5894">
        <v>2700</v>
      </c>
    </row>
    <row r="5895" spans="1:4" x14ac:dyDescent="0.25">
      <c r="A5895" t="str">
        <f>T("   950310")</f>
        <v xml:space="preserve">   950310</v>
      </c>
      <c r="B5895" t="str">
        <f>T("   Modèles réduits de trains électriques, y.c. les rails, les signaux et autres accessoires")</f>
        <v xml:space="preserve">   Modèles réduits de trains électriques, y.c. les rails, les signaux et autres accessoires</v>
      </c>
      <c r="C5895">
        <v>1109216</v>
      </c>
      <c r="D5895">
        <v>1546</v>
      </c>
    </row>
    <row r="5896" spans="1:4" x14ac:dyDescent="0.25">
      <c r="A5896" t="str">
        <f>T("   950390")</f>
        <v xml:space="preserve">   950390</v>
      </c>
      <c r="B5896" t="str">
        <f>T("   Jouets, n.d.a.")</f>
        <v xml:space="preserve">   Jouets, n.d.a.</v>
      </c>
      <c r="C5896">
        <v>4498728</v>
      </c>
      <c r="D5896">
        <v>7688</v>
      </c>
    </row>
    <row r="5897" spans="1:4" x14ac:dyDescent="0.25">
      <c r="A5897" t="str">
        <f>T("   950490")</f>
        <v xml:space="preserve">   950490</v>
      </c>
      <c r="B5897" t="s">
        <v>510</v>
      </c>
      <c r="C5897">
        <v>1386854</v>
      </c>
      <c r="D5897">
        <v>8429</v>
      </c>
    </row>
    <row r="5898" spans="1:4" x14ac:dyDescent="0.25">
      <c r="A5898" t="str">
        <f>T("   950632")</f>
        <v xml:space="preserve">   950632</v>
      </c>
      <c r="B5898" t="str">
        <f>T("   BALLES DE GOLF")</f>
        <v xml:space="preserve">   BALLES DE GOLF</v>
      </c>
      <c r="C5898">
        <v>50292</v>
      </c>
      <c r="D5898">
        <v>25</v>
      </c>
    </row>
    <row r="5899" spans="1:4" x14ac:dyDescent="0.25">
      <c r="A5899" t="str">
        <f>T("   950699")</f>
        <v xml:space="preserve">   950699</v>
      </c>
      <c r="B5899" t="str">
        <f>T("   Articles et matériel pour le sport et les jeux de plein air, n.d.a.; piscines et pataugeoires")</f>
        <v xml:space="preserve">   Articles et matériel pour le sport et les jeux de plein air, n.d.a.; piscines et pataugeoires</v>
      </c>
      <c r="C5899">
        <v>50509</v>
      </c>
      <c r="D5899">
        <v>25</v>
      </c>
    </row>
    <row r="5900" spans="1:4" x14ac:dyDescent="0.25">
      <c r="A5900" t="str">
        <f>T("   960310")</f>
        <v xml:space="preserve">   960310</v>
      </c>
      <c r="B5900" t="str">
        <f>T("   Balais et balayettes consistant en matières végétales en bottes liées")</f>
        <v xml:space="preserve">   Balais et balayettes consistant en matières végétales en bottes liées</v>
      </c>
      <c r="C5900">
        <v>943961</v>
      </c>
      <c r="D5900">
        <v>1334</v>
      </c>
    </row>
    <row r="5901" spans="1:4" x14ac:dyDescent="0.25">
      <c r="A5901" t="str">
        <f>T("   960390")</f>
        <v xml:space="preserve">   960390</v>
      </c>
      <c r="B5901" t="str">
        <f>T("   ARTICLES DE BROSSERIE (SAUF DU N° 9603.10 À 9603.50), P.EX. TÊTES PRÉPARÉES POUR ARTICLES DE BROSSERIE ET RACLETTES EN CAOUTCHOUC OU EN MATIÈRES SOUPLES ANALOGUES")</f>
        <v xml:space="preserve">   ARTICLES DE BROSSERIE (SAUF DU N° 9603.10 À 9603.50), P.EX. TÊTES PRÉPARÉES POUR ARTICLES DE BROSSERIE ET RACLETTES EN CAOUTCHOUC OU EN MATIÈRES SOUPLES ANALOGUES</v>
      </c>
      <c r="C5901">
        <v>19625</v>
      </c>
      <c r="D5901">
        <v>20</v>
      </c>
    </row>
    <row r="5902" spans="1:4" x14ac:dyDescent="0.25">
      <c r="A5902" t="str">
        <f>T("GD")</f>
        <v>GD</v>
      </c>
      <c r="B5902" t="str">
        <f>T("Grenade")</f>
        <v>Grenade</v>
      </c>
    </row>
    <row r="5903" spans="1:4" x14ac:dyDescent="0.25">
      <c r="A5903" t="str">
        <f>T("   ZZ_Total_Produit_SH6")</f>
        <v xml:space="preserve">   ZZ_Total_Produit_SH6</v>
      </c>
      <c r="B5903" t="str">
        <f>T("   ZZ_Total_Produit_SH6")</f>
        <v xml:space="preserve">   ZZ_Total_Produit_SH6</v>
      </c>
      <c r="C5903">
        <v>290000</v>
      </c>
      <c r="D5903">
        <v>176</v>
      </c>
    </row>
    <row r="5904" spans="1:4" x14ac:dyDescent="0.25">
      <c r="A5904" t="str">
        <f>T("   871493")</f>
        <v xml:space="preserve">   871493</v>
      </c>
      <c r="B5904" t="str">
        <f>T("   Moyeux (autres que les moyeux à frein) et pignons de roues libres, de bicyclettes")</f>
        <v xml:space="preserve">   Moyeux (autres que les moyeux à frein) et pignons de roues libres, de bicyclettes</v>
      </c>
      <c r="C5904">
        <v>290000</v>
      </c>
      <c r="D5904">
        <v>176</v>
      </c>
    </row>
    <row r="5905" spans="1:4" x14ac:dyDescent="0.25">
      <c r="A5905" t="str">
        <f>T("GE")</f>
        <v>GE</v>
      </c>
      <c r="B5905" t="str">
        <f>T("Géorgie")</f>
        <v>Géorgie</v>
      </c>
    </row>
    <row r="5906" spans="1:4" x14ac:dyDescent="0.25">
      <c r="A5906" t="str">
        <f>T("   ZZ_Total_Produit_SH6")</f>
        <v xml:space="preserve">   ZZ_Total_Produit_SH6</v>
      </c>
      <c r="B5906" t="str">
        <f>T("   ZZ_Total_Produit_SH6")</f>
        <v xml:space="preserve">   ZZ_Total_Produit_SH6</v>
      </c>
      <c r="C5906">
        <v>6591721</v>
      </c>
      <c r="D5906">
        <v>719</v>
      </c>
    </row>
    <row r="5907" spans="1:4" x14ac:dyDescent="0.25">
      <c r="A5907" t="str">
        <f>T("   300490")</f>
        <v xml:space="preserve">   300490</v>
      </c>
      <c r="B5907" t="s">
        <v>78</v>
      </c>
      <c r="C5907">
        <v>49852</v>
      </c>
      <c r="D5907">
        <v>4</v>
      </c>
    </row>
    <row r="5908" spans="1:4" x14ac:dyDescent="0.25">
      <c r="A5908" t="str">
        <f>T("   321590")</f>
        <v xml:space="preserve">   321590</v>
      </c>
      <c r="B5908" t="str">
        <f>T("   Encres à écrire et à dessiner, même concentrées ou sous formes solides")</f>
        <v xml:space="preserve">   Encres à écrire et à dessiner, même concentrées ou sous formes solides</v>
      </c>
      <c r="C5908">
        <v>249265</v>
      </c>
      <c r="D5908">
        <v>3</v>
      </c>
    </row>
    <row r="5909" spans="1:4" x14ac:dyDescent="0.25">
      <c r="A5909" t="str">
        <f>T("   490199")</f>
        <v xml:space="preserve">   490199</v>
      </c>
      <c r="B5909"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5909">
        <v>207309</v>
      </c>
      <c r="D5909">
        <v>593</v>
      </c>
    </row>
    <row r="5910" spans="1:4" x14ac:dyDescent="0.25">
      <c r="A5910" t="str">
        <f>T("   490400")</f>
        <v xml:space="preserve">   490400</v>
      </c>
      <c r="B5910" t="str">
        <f>T("   Musique manuscrite ou imprimée, illustrée ou non, même reliée")</f>
        <v xml:space="preserve">   Musique manuscrite ou imprimée, illustrée ou non, même reliée</v>
      </c>
      <c r="C5910">
        <v>255768</v>
      </c>
      <c r="D5910">
        <v>15</v>
      </c>
    </row>
    <row r="5911" spans="1:4" x14ac:dyDescent="0.25">
      <c r="A5911" t="str">
        <f>T("   491199")</f>
        <v xml:space="preserve">   491199</v>
      </c>
      <c r="B5911" t="str">
        <f>T("   Imprimés, n.d.a.")</f>
        <v xml:space="preserve">   Imprimés, n.d.a.</v>
      </c>
      <c r="C5911">
        <v>113735</v>
      </c>
      <c r="D5911">
        <v>20</v>
      </c>
    </row>
    <row r="5912" spans="1:4" x14ac:dyDescent="0.25">
      <c r="A5912" t="str">
        <f>T("   842389")</f>
        <v xml:space="preserve">   842389</v>
      </c>
      <c r="B5912" t="str">
        <f>T("   Appareils et instruments de pesage, portée &gt; 5000 kg")</f>
        <v xml:space="preserve">   Appareils et instruments de pesage, portée &gt; 5000 kg</v>
      </c>
      <c r="C5912">
        <v>1268108</v>
      </c>
      <c r="D5912">
        <v>70</v>
      </c>
    </row>
    <row r="5913" spans="1:4" x14ac:dyDescent="0.25">
      <c r="A5913" t="str">
        <f>T("   847190")</f>
        <v xml:space="preserve">   847190</v>
      </c>
      <c r="B5913"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5913">
        <v>157706</v>
      </c>
      <c r="D5913">
        <v>1</v>
      </c>
    </row>
    <row r="5914" spans="1:4" x14ac:dyDescent="0.25">
      <c r="A5914" t="str">
        <f>T("   853690")</f>
        <v xml:space="preserve">   853690</v>
      </c>
      <c r="B5914" t="s">
        <v>469</v>
      </c>
      <c r="C5914">
        <v>393576</v>
      </c>
      <c r="D5914">
        <v>4</v>
      </c>
    </row>
    <row r="5915" spans="1:4" x14ac:dyDescent="0.25">
      <c r="A5915" t="str">
        <f>T("   853890")</f>
        <v xml:space="preserve">   853890</v>
      </c>
      <c r="B5915" t="s">
        <v>470</v>
      </c>
      <c r="C5915">
        <v>78715</v>
      </c>
      <c r="D5915">
        <v>1</v>
      </c>
    </row>
    <row r="5916" spans="1:4" x14ac:dyDescent="0.25">
      <c r="A5916" t="str">
        <f>T("   903180")</f>
        <v xml:space="preserve">   903180</v>
      </c>
      <c r="B5916" t="str">
        <f>T("   INSTRUMENTS, APPAREILS ET MACHINES DE MESURE OU DE CONTRÔLE, NON-OPTIQUES, N.D.A. DANS LE PRÉSENT CHAPITRE")</f>
        <v xml:space="preserve">   INSTRUMENTS, APPAREILS ET MACHINES DE MESURE OU DE CONTRÔLE, NON-OPTIQUES, N.D.A. DANS LE PRÉSENT CHAPITRE</v>
      </c>
      <c r="C5916">
        <v>3817687</v>
      </c>
      <c r="D5916">
        <v>8</v>
      </c>
    </row>
    <row r="5917" spans="1:4" x14ac:dyDescent="0.25">
      <c r="A5917" t="str">
        <f>T("GH")</f>
        <v>GH</v>
      </c>
      <c r="B5917" t="str">
        <f>T("Ghana")</f>
        <v>Ghana</v>
      </c>
    </row>
    <row r="5918" spans="1:4" x14ac:dyDescent="0.25">
      <c r="A5918" t="str">
        <f>T("   ZZ_Total_Produit_SH6")</f>
        <v xml:space="preserve">   ZZ_Total_Produit_SH6</v>
      </c>
      <c r="B5918" t="str">
        <f>T("   ZZ_Total_Produit_SH6")</f>
        <v xml:space="preserve">   ZZ_Total_Produit_SH6</v>
      </c>
      <c r="C5918">
        <v>7374515287</v>
      </c>
      <c r="D5918">
        <v>26857636.02</v>
      </c>
    </row>
    <row r="5919" spans="1:4" x14ac:dyDescent="0.25">
      <c r="A5919" t="str">
        <f>T("   030379")</f>
        <v xml:space="preserve">   030379</v>
      </c>
      <c r="B5919" t="s">
        <v>15</v>
      </c>
      <c r="C5919">
        <v>93062357</v>
      </c>
      <c r="D5919">
        <v>413610</v>
      </c>
    </row>
    <row r="5920" spans="1:4" x14ac:dyDescent="0.25">
      <c r="A5920" t="str">
        <f>T("   040210")</f>
        <v xml:space="preserve">   040210</v>
      </c>
      <c r="B5920" t="str">
        <f>T("   Lait et crème de lait, en poudre, en granulés ou sous d'autres formes solides, d'une teneur en poids de matières grasses &lt;= 1,5%")</f>
        <v xml:space="preserve">   Lait et crème de lait, en poudre, en granulés ou sous d'autres formes solides, d'une teneur en poids de matières grasses &lt;= 1,5%</v>
      </c>
      <c r="C5920">
        <v>110804655</v>
      </c>
      <c r="D5920">
        <v>42840</v>
      </c>
    </row>
    <row r="5921" spans="1:4" x14ac:dyDescent="0.25">
      <c r="A5921" t="str">
        <f>T("   040221")</f>
        <v xml:space="preserve">   040221</v>
      </c>
      <c r="B5921" t="str">
        <f>T("   Lait et crème de lait, en poudre, en granulés ou sous d'autres formes solides, d'une teneur en poids de matières grasses &gt; 1,5%, sans addition de sucre ou d'autres édulcorants")</f>
        <v xml:space="preserve">   Lait et crème de lait, en poudre, en granulés ou sous d'autres formes solides, d'une teneur en poids de matières grasses &gt; 1,5%, sans addition de sucre ou d'autres édulcorants</v>
      </c>
      <c r="C5921">
        <v>13921460</v>
      </c>
      <c r="D5921">
        <v>4522</v>
      </c>
    </row>
    <row r="5922" spans="1:4" x14ac:dyDescent="0.25">
      <c r="A5922" t="str">
        <f>T("   040229")</f>
        <v xml:space="preserve">   040229</v>
      </c>
      <c r="B5922" t="str">
        <f>T("   Lait et crème de lait, en poudre, en granulés ou sous d'autres formes solides, d'une teneur en poids de matières grasses &gt; 1,5%, avec addition de sucre ou d'autres édulcorants")</f>
        <v xml:space="preserve">   Lait et crème de lait, en poudre, en granulés ou sous d'autres formes solides, d'une teneur en poids de matières grasses &gt; 1,5%, avec addition de sucre ou d'autres édulcorants</v>
      </c>
      <c r="C5922">
        <v>68133166</v>
      </c>
      <c r="D5922">
        <v>15109</v>
      </c>
    </row>
    <row r="5923" spans="1:4" x14ac:dyDescent="0.25">
      <c r="A5923" t="str">
        <f>T("   040620")</f>
        <v xml:space="preserve">   040620</v>
      </c>
      <c r="B5923" t="str">
        <f>T("   Fromages râpés ou en poudre, de tous types")</f>
        <v xml:space="preserve">   Fromages râpés ou en poudre, de tous types</v>
      </c>
      <c r="C5923">
        <v>500000</v>
      </c>
      <c r="D5923">
        <v>1400</v>
      </c>
    </row>
    <row r="5924" spans="1:4" x14ac:dyDescent="0.25">
      <c r="A5924" t="str">
        <f>T("   040700")</f>
        <v xml:space="preserve">   040700</v>
      </c>
      <c r="B5924" t="str">
        <f>T("   Oeufs d'oiseaux, en coquilles, frais, conservés ou cuits")</f>
        <v xml:space="preserve">   Oeufs d'oiseaux, en coquilles, frais, conservés ou cuits</v>
      </c>
      <c r="C5924">
        <v>9048034</v>
      </c>
      <c r="D5924">
        <v>31405</v>
      </c>
    </row>
    <row r="5925" spans="1:4" x14ac:dyDescent="0.25">
      <c r="A5925" t="str">
        <f>T("   080300")</f>
        <v xml:space="preserve">   080300</v>
      </c>
      <c r="B5925" t="str">
        <f>T("   Bananes, y.c. les plantains, fraîches ou sèches")</f>
        <v xml:space="preserve">   Bananes, y.c. les plantains, fraîches ou sèches</v>
      </c>
      <c r="C5925">
        <v>38448320</v>
      </c>
      <c r="D5925">
        <v>243856</v>
      </c>
    </row>
    <row r="5926" spans="1:4" x14ac:dyDescent="0.25">
      <c r="A5926" t="str">
        <f>T("   090210")</f>
        <v xml:space="preserve">   090210</v>
      </c>
      <c r="B5926" t="str">
        <f>T("   Thé vert [thé non fermenté], présenté en emballages immédiats d'un contenu &lt;= 3 kg")</f>
        <v xml:space="preserve">   Thé vert [thé non fermenté], présenté en emballages immédiats d'un contenu &lt;= 3 kg</v>
      </c>
      <c r="C5926">
        <v>600000</v>
      </c>
      <c r="D5926">
        <v>1980</v>
      </c>
    </row>
    <row r="5927" spans="1:4" x14ac:dyDescent="0.25">
      <c r="A5927" t="str">
        <f>T("   090220")</f>
        <v xml:space="preserve">   090220</v>
      </c>
      <c r="B5927" t="str">
        <f>T("   Thé vert [thé non fermenté], présenté en emballages immédiats d'un contenu &gt; 3 kg")</f>
        <v xml:space="preserve">   Thé vert [thé non fermenté], présenté en emballages immédiats d'un contenu &gt; 3 kg</v>
      </c>
      <c r="C5927">
        <v>1300000</v>
      </c>
      <c r="D5927">
        <v>3500</v>
      </c>
    </row>
    <row r="5928" spans="1:4" x14ac:dyDescent="0.25">
      <c r="A5928" t="str">
        <f>T("   090300")</f>
        <v xml:space="preserve">   090300</v>
      </c>
      <c r="B5928" t="str">
        <f>T("   Maté")</f>
        <v xml:space="preserve">   Maté</v>
      </c>
      <c r="C5928">
        <v>6061496</v>
      </c>
      <c r="D5928">
        <v>20290</v>
      </c>
    </row>
    <row r="5929" spans="1:4" x14ac:dyDescent="0.25">
      <c r="A5929" t="str">
        <f>T("   091099")</f>
        <v xml:space="preserve">   091099</v>
      </c>
      <c r="B5929" t="s">
        <v>26</v>
      </c>
      <c r="C5929">
        <v>422650</v>
      </c>
      <c r="D5929">
        <v>1225</v>
      </c>
    </row>
    <row r="5930" spans="1:4" x14ac:dyDescent="0.25">
      <c r="A5930" t="str">
        <f>T("   100630")</f>
        <v xml:space="preserve">   100630</v>
      </c>
      <c r="B5930" t="str">
        <f>T("   Riz semi-blanchi ou blanchi, même poli ou glacé")</f>
        <v xml:space="preserve">   Riz semi-blanchi ou blanchi, même poli ou glacé</v>
      </c>
      <c r="C5930">
        <v>400000</v>
      </c>
      <c r="D5930">
        <v>200</v>
      </c>
    </row>
    <row r="5931" spans="1:4" x14ac:dyDescent="0.25">
      <c r="A5931" t="str">
        <f>T("   110311")</f>
        <v xml:space="preserve">   110311</v>
      </c>
      <c r="B5931" t="str">
        <f>T("   Gruaux et semoules de froment [blé]")</f>
        <v xml:space="preserve">   Gruaux et semoules de froment [blé]</v>
      </c>
      <c r="C5931">
        <v>3660000</v>
      </c>
      <c r="D5931">
        <v>21668</v>
      </c>
    </row>
    <row r="5932" spans="1:4" x14ac:dyDescent="0.25">
      <c r="A5932" t="str">
        <f>T("   151110")</f>
        <v xml:space="preserve">   151110</v>
      </c>
      <c r="B5932" t="str">
        <f>T("   Huile de palme, brute")</f>
        <v xml:space="preserve">   Huile de palme, brute</v>
      </c>
      <c r="C5932">
        <v>3750000</v>
      </c>
      <c r="D5932">
        <v>15000</v>
      </c>
    </row>
    <row r="5933" spans="1:4" x14ac:dyDescent="0.25">
      <c r="A5933" t="str">
        <f>T("   151329")</f>
        <v xml:space="preserve">   151329</v>
      </c>
      <c r="B5933" t="str">
        <f>T("   Huiles de palmiste ou de babassu et leurs fractions, même raffinées, mais non chimiquement modifiées (à l'excl. des huiles brutes)")</f>
        <v xml:space="preserve">   Huiles de palmiste ou de babassu et leurs fractions, même raffinées, mais non chimiquement modifiées (à l'excl. des huiles brutes)</v>
      </c>
      <c r="C5933">
        <v>262500</v>
      </c>
      <c r="D5933">
        <v>1050</v>
      </c>
    </row>
    <row r="5934" spans="1:4" x14ac:dyDescent="0.25">
      <c r="A5934" t="str">
        <f>T("   151710")</f>
        <v xml:space="preserve">   151710</v>
      </c>
      <c r="B5934" t="str">
        <f>T("   Margarine (à l'excl. de la margarine liquide)")</f>
        <v xml:space="preserve">   Margarine (à l'excl. de la margarine liquide)</v>
      </c>
      <c r="C5934">
        <v>22418679</v>
      </c>
      <c r="D5934">
        <v>29060</v>
      </c>
    </row>
    <row r="5935" spans="1:4" x14ac:dyDescent="0.25">
      <c r="A5935" t="str">
        <f>T("   170199")</f>
        <v xml:space="preserve">   170199</v>
      </c>
      <c r="B5935" t="str">
        <f>T("   Sucres de canne ou de betterave et saccharose chimiquement pur, à l'état solide (à l'excl. des sucres bruts et des sucres de canne ou de betterave additionnés d'aromatisants ou de colorants)")</f>
        <v xml:space="preserve">   Sucres de canne ou de betterave et saccharose chimiquement pur, à l'état solide (à l'excl. des sucres bruts et des sucres de canne ou de betterave additionnés d'aromatisants ou de colorants)</v>
      </c>
      <c r="C5935">
        <v>13104000</v>
      </c>
      <c r="D5935">
        <v>105050</v>
      </c>
    </row>
    <row r="5936" spans="1:4" x14ac:dyDescent="0.25">
      <c r="A5936" t="str">
        <f>T("   170490")</f>
        <v xml:space="preserve">   170490</v>
      </c>
      <c r="B5936" t="str">
        <f>T("   Sucreries sans cacao, y.c. le chocolat blanc (à l'excl. des gommes à mâcher)")</f>
        <v xml:space="preserve">   Sucreries sans cacao, y.c. le chocolat blanc (à l'excl. des gommes à mâcher)</v>
      </c>
      <c r="C5936">
        <v>84816800</v>
      </c>
      <c r="D5936">
        <v>454760</v>
      </c>
    </row>
    <row r="5937" spans="1:4" x14ac:dyDescent="0.25">
      <c r="A5937" t="str">
        <f>T("   180200")</f>
        <v xml:space="preserve">   180200</v>
      </c>
      <c r="B5937" t="str">
        <f>T("   Coques, pellicules [pelures] et autres déchets de cacao")</f>
        <v xml:space="preserve">   Coques, pellicules [pelures] et autres déchets de cacao</v>
      </c>
      <c r="C5937">
        <v>516605</v>
      </c>
      <c r="D5937">
        <v>1750</v>
      </c>
    </row>
    <row r="5938" spans="1:4" x14ac:dyDescent="0.25">
      <c r="A5938" t="str">
        <f>T("   180610")</f>
        <v xml:space="preserve">   180610</v>
      </c>
      <c r="B5938" t="str">
        <f>T("   Poudre de cacao, additionnée de sucre ou d'autres édulcorants")</f>
        <v xml:space="preserve">   Poudre de cacao, additionnée de sucre ou d'autres édulcorants</v>
      </c>
      <c r="C5938">
        <v>3340000</v>
      </c>
      <c r="D5938">
        <v>18634</v>
      </c>
    </row>
    <row r="5939" spans="1:4" x14ac:dyDescent="0.25">
      <c r="A5939" t="str">
        <f>T("   180690")</f>
        <v xml:space="preserve">   180690</v>
      </c>
      <c r="B5939" t="str">
        <f>T("   Chocolat et autres préparations alimentaires contenant du cacao, en récipients ou en emballages immédiats d'un contenu &lt;= 2 kg (à l'excl. de la poudre de cacao et des produits présentés en tablettes, barres ou bâtons)")</f>
        <v xml:space="preserve">   Chocolat et autres préparations alimentaires contenant du cacao, en récipients ou en emballages immédiats d'un contenu &lt;= 2 kg (à l'excl. de la poudre de cacao et des produits présentés en tablettes, barres ou bâtons)</v>
      </c>
      <c r="C5939">
        <v>17795789</v>
      </c>
      <c r="D5939">
        <v>6000</v>
      </c>
    </row>
    <row r="5940" spans="1:4" x14ac:dyDescent="0.25">
      <c r="A5940" t="str">
        <f>T("   190110")</f>
        <v xml:space="preserve">   190110</v>
      </c>
      <c r="B5940" t="s">
        <v>46</v>
      </c>
      <c r="C5940">
        <v>57139833</v>
      </c>
      <c r="D5940">
        <v>29576</v>
      </c>
    </row>
    <row r="5941" spans="1:4" x14ac:dyDescent="0.25">
      <c r="A5941" t="str">
        <f>T("   190190")</f>
        <v xml:space="preserve">   190190</v>
      </c>
      <c r="B5941" t="s">
        <v>48</v>
      </c>
      <c r="C5941">
        <v>2100000</v>
      </c>
      <c r="D5941">
        <v>6000</v>
      </c>
    </row>
    <row r="5942" spans="1:4" x14ac:dyDescent="0.25">
      <c r="A5942" t="str">
        <f>T("   190219")</f>
        <v xml:space="preserve">   190219</v>
      </c>
      <c r="B5942" t="str">
        <f>T("   PÂTES ALIMENTAIRES NON-CUITES NI FARCIES NI AUTREMENT PRÉPARÉES, NE CONTENANT PAS D'OEUFS")</f>
        <v xml:space="preserve">   PÂTES ALIMENTAIRES NON-CUITES NI FARCIES NI AUTREMENT PRÉPARÉES, NE CONTENANT PAS D'OEUFS</v>
      </c>
      <c r="C5942">
        <v>190453120</v>
      </c>
      <c r="D5942">
        <v>974352</v>
      </c>
    </row>
    <row r="5943" spans="1:4" x14ac:dyDescent="0.25">
      <c r="A5943" t="str">
        <f>T("   190531")</f>
        <v xml:space="preserve">   190531</v>
      </c>
      <c r="B5943" t="str">
        <f>T("   Biscuits additionnés d'édulcorants")</f>
        <v xml:space="preserve">   Biscuits additionnés d'édulcorants</v>
      </c>
      <c r="C5943">
        <v>12821753</v>
      </c>
      <c r="D5943">
        <v>36090</v>
      </c>
    </row>
    <row r="5944" spans="1:4" x14ac:dyDescent="0.25">
      <c r="A5944" t="str">
        <f>T("   190590")</f>
        <v xml:space="preserve">   190590</v>
      </c>
      <c r="B5944" t="s">
        <v>50</v>
      </c>
      <c r="C5944">
        <v>21596819</v>
      </c>
      <c r="D5944">
        <v>135729</v>
      </c>
    </row>
    <row r="5945" spans="1:4" x14ac:dyDescent="0.25">
      <c r="A5945" t="str">
        <f>T("   200290")</f>
        <v xml:space="preserve">   200290</v>
      </c>
      <c r="B5945" t="str">
        <f>T("   Tomates, préparées ou conservées autrement qu'au vinaigre ou à l'acide acétique (à l'excl. des tomates entières ou en morceaux)")</f>
        <v xml:space="preserve">   Tomates, préparées ou conservées autrement qu'au vinaigre ou à l'acide acétique (à l'excl. des tomates entières ou en morceaux)</v>
      </c>
      <c r="C5945">
        <v>38409085</v>
      </c>
      <c r="D5945">
        <v>225337</v>
      </c>
    </row>
    <row r="5946" spans="1:4" x14ac:dyDescent="0.25">
      <c r="A5946" t="str">
        <f>T("   200540")</f>
        <v xml:space="preserve">   200540</v>
      </c>
      <c r="B5946" t="str">
        <f>T("   Pois [Pisum sativum], préparés ou conservés autrement qu'au vinaigre ou à l'acide acétique, non congelés")</f>
        <v xml:space="preserve">   Pois [Pisum sativum], préparés ou conservés autrement qu'au vinaigre ou à l'acide acétique, non congelés</v>
      </c>
      <c r="C5946">
        <v>600000</v>
      </c>
      <c r="D5946">
        <v>2200</v>
      </c>
    </row>
    <row r="5947" spans="1:4" x14ac:dyDescent="0.25">
      <c r="A5947" t="str">
        <f>T("   200710")</f>
        <v xml:space="preserve">   200710</v>
      </c>
      <c r="B5947" t="s">
        <v>52</v>
      </c>
      <c r="C5947">
        <v>8500000</v>
      </c>
      <c r="D5947">
        <v>56290</v>
      </c>
    </row>
    <row r="5948" spans="1:4" x14ac:dyDescent="0.25">
      <c r="A5948" t="str">
        <f>T("   200799")</f>
        <v xml:space="preserve">   200799</v>
      </c>
      <c r="B5948" t="s">
        <v>53</v>
      </c>
      <c r="C5948">
        <v>300000</v>
      </c>
      <c r="D5948">
        <v>1500</v>
      </c>
    </row>
    <row r="5949" spans="1:4" x14ac:dyDescent="0.25">
      <c r="A5949" t="str">
        <f>T("   200990")</f>
        <v xml:space="preserve">   200990</v>
      </c>
      <c r="B5949" t="str">
        <f>T("   MÉLANGES DE JUS DE FRUITS - Y.C. LES MOÛTS DE RAISIN - ET DE JUS DE LÉGUMES, NON-FERMENTÉS, SANS ADDITION D'ALCOOL, AVEC OU SANS ADDITION DE SUCRE OU D'AUTRES ÉDULCORANTS")</f>
        <v xml:space="preserve">   MÉLANGES DE JUS DE FRUITS - Y.C. LES MOÛTS DE RAISIN - ET DE JUS DE LÉGUMES, NON-FERMENTÉS, SANS ADDITION D'ALCOOL, AVEC OU SANS ADDITION DE SUCRE OU D'AUTRES ÉDULCORANTS</v>
      </c>
      <c r="C5949">
        <v>24953603</v>
      </c>
      <c r="D5949">
        <v>276410</v>
      </c>
    </row>
    <row r="5950" spans="1:4" x14ac:dyDescent="0.25">
      <c r="A5950" t="str">
        <f>T("   210111")</f>
        <v xml:space="preserve">   210111</v>
      </c>
      <c r="B5950" t="str">
        <f>T("   Extraits, essences et concentrés de café")</f>
        <v xml:space="preserve">   Extraits, essences et concentrés de café</v>
      </c>
      <c r="C5950">
        <v>52556279</v>
      </c>
      <c r="D5950">
        <v>13708</v>
      </c>
    </row>
    <row r="5951" spans="1:4" x14ac:dyDescent="0.25">
      <c r="A5951" t="str">
        <f>T("   210112")</f>
        <v xml:space="preserve">   210112</v>
      </c>
      <c r="B5951" t="str">
        <f>T("   Préparations à base d'extraits, essences ou concentrés de café ou à base de café")</f>
        <v xml:space="preserve">   Préparations à base d'extraits, essences ou concentrés de café ou à base de café</v>
      </c>
      <c r="C5951">
        <v>134860</v>
      </c>
      <c r="D5951">
        <v>499</v>
      </c>
    </row>
    <row r="5952" spans="1:4" x14ac:dyDescent="0.25">
      <c r="A5952" t="str">
        <f>T("   210120")</f>
        <v xml:space="preserve">   210120</v>
      </c>
      <c r="B5952" t="str">
        <f>T("   Extraits, essences et concentrés de thé ou de maté et préparations à base de ces extraits, essences et concentrés ou à base de thé ou de maté")</f>
        <v xml:space="preserve">   Extraits, essences et concentrés de thé ou de maté et préparations à base de ces extraits, essences et concentrés ou à base de thé ou de maté</v>
      </c>
      <c r="C5952">
        <v>300000</v>
      </c>
      <c r="D5952">
        <v>850</v>
      </c>
    </row>
    <row r="5953" spans="1:4" x14ac:dyDescent="0.25">
      <c r="A5953" t="str">
        <f>T("   210390")</f>
        <v xml:space="preserve">   210390</v>
      </c>
      <c r="B5953" t="str">
        <f>T("   Préparations pour sauces et sauces préparées; condiments et assaisonnements, composés (à l'excl. de la sauce de soja, du tomato ketchup et autres sauces tomates, de la farine de moutarde et de la moutarde préparée)")</f>
        <v xml:space="preserve">   Préparations pour sauces et sauces préparées; condiments et assaisonnements, composés (à l'excl. de la sauce de soja, du tomato ketchup et autres sauces tomates, de la farine de moutarde et de la moutarde préparée)</v>
      </c>
      <c r="C5953">
        <v>8041433</v>
      </c>
      <c r="D5953">
        <v>9684</v>
      </c>
    </row>
    <row r="5954" spans="1:4" x14ac:dyDescent="0.25">
      <c r="A5954" t="str">
        <f>T("   210410")</f>
        <v xml:space="preserve">   210410</v>
      </c>
      <c r="B5954" t="str">
        <f>T("   Préparations pour soupes, potages ou bouillons; soupes, potages ou bouillons préparés")</f>
        <v xml:space="preserve">   Préparations pour soupes, potages ou bouillons; soupes, potages ou bouillons préparés</v>
      </c>
      <c r="C5954">
        <v>4459406</v>
      </c>
      <c r="D5954">
        <v>14450</v>
      </c>
    </row>
    <row r="5955" spans="1:4" x14ac:dyDescent="0.25">
      <c r="A5955" t="str">
        <f>T("   220110")</f>
        <v xml:space="preserve">   220110</v>
      </c>
      <c r="B5955" t="str">
        <f>T("   Eaux minérales et eaux gazéifiées, non additionnées de sucre ou d'autres édulcorants ni aromatisées")</f>
        <v xml:space="preserve">   Eaux minérales et eaux gazéifiées, non additionnées de sucre ou d'autres édulcorants ni aromatisées</v>
      </c>
      <c r="C5955">
        <v>8775573</v>
      </c>
      <c r="D5955">
        <v>54840</v>
      </c>
    </row>
    <row r="5956" spans="1:4" x14ac:dyDescent="0.25">
      <c r="A5956" t="str">
        <f>T("   220210")</f>
        <v xml:space="preserve">   220210</v>
      </c>
      <c r="B5956" t="str">
        <f>T("   Eaux, y.c. les eaux minérales et les eaux gazéifiées, additionnées de sucre ou d'autres édulcorants ou aromatisées, directement consommables en l'état en tant que boissons")</f>
        <v xml:space="preserve">   Eaux, y.c. les eaux minérales et les eaux gazéifiées, additionnées de sucre ou d'autres édulcorants ou aromatisées, directement consommables en l'état en tant que boissons</v>
      </c>
      <c r="C5956">
        <v>1500000</v>
      </c>
      <c r="D5956">
        <v>10000</v>
      </c>
    </row>
    <row r="5957" spans="1:4" x14ac:dyDescent="0.25">
      <c r="A5957" t="str">
        <f>T("   220300")</f>
        <v xml:space="preserve">   220300</v>
      </c>
      <c r="B5957" t="str">
        <f>T("   Bières de malt")</f>
        <v xml:space="preserve">   Bières de malt</v>
      </c>
      <c r="C5957">
        <v>26082911</v>
      </c>
      <c r="D5957">
        <v>98541</v>
      </c>
    </row>
    <row r="5958" spans="1:4" x14ac:dyDescent="0.25">
      <c r="A5958" t="str">
        <f>T("   220600")</f>
        <v xml:space="preserve">   220600</v>
      </c>
      <c r="B5958" t="s">
        <v>57</v>
      </c>
      <c r="C5958">
        <v>472000</v>
      </c>
      <c r="D5958">
        <v>1749</v>
      </c>
    </row>
    <row r="5959" spans="1:4" x14ac:dyDescent="0.25">
      <c r="A5959" t="str">
        <f>T("   220710")</f>
        <v xml:space="preserve">   220710</v>
      </c>
      <c r="B5959" t="str">
        <f>T("   Alcool éthylique non dénaturé d'un titre alcoométrique volumique &gt;= 80% vol")</f>
        <v xml:space="preserve">   Alcool éthylique non dénaturé d'un titre alcoométrique volumique &gt;= 80% vol</v>
      </c>
      <c r="C5959">
        <v>1150000</v>
      </c>
      <c r="D5959">
        <v>7210</v>
      </c>
    </row>
    <row r="5960" spans="1:4" x14ac:dyDescent="0.25">
      <c r="A5960" t="str">
        <f>T("   220890")</f>
        <v xml:space="preserve">   220890</v>
      </c>
      <c r="B5960" t="s">
        <v>58</v>
      </c>
      <c r="C5960">
        <v>4200000</v>
      </c>
      <c r="D5960">
        <v>27460</v>
      </c>
    </row>
    <row r="5961" spans="1:4" x14ac:dyDescent="0.25">
      <c r="A5961" t="str">
        <f>T("   230120")</f>
        <v xml:space="preserve">   230120</v>
      </c>
      <c r="B5961" t="str">
        <f>T("   Farines, poudres et agglomérés sous forme de pellets, de poissons ou de crustacés, de mollusques ou d'autres invertébrés aquatiques, impropres à l'alimentation humaine")</f>
        <v xml:space="preserve">   Farines, poudres et agglomérés sous forme de pellets, de poissons ou de crustacés, de mollusques ou d'autres invertébrés aquatiques, impropres à l'alimentation humaine</v>
      </c>
      <c r="C5961">
        <v>2275000</v>
      </c>
      <c r="D5961">
        <v>5567</v>
      </c>
    </row>
    <row r="5962" spans="1:4" x14ac:dyDescent="0.25">
      <c r="A5962" t="str">
        <f>T("   250100")</f>
        <v xml:space="preserve">   250100</v>
      </c>
      <c r="B5962" t="s">
        <v>60</v>
      </c>
      <c r="C5962">
        <v>42543973</v>
      </c>
      <c r="D5962">
        <v>1332924</v>
      </c>
    </row>
    <row r="5963" spans="1:4" x14ac:dyDescent="0.25">
      <c r="A5963" t="str">
        <f>T("   252329")</f>
        <v xml:space="preserve">   252329</v>
      </c>
      <c r="B5963" t="str">
        <f>T("   Ciment Portland normal ou modéré (à l'excl. des ciments Portland blancs, même colorés artificiellement)")</f>
        <v xml:space="preserve">   Ciment Portland normal ou modéré (à l'excl. des ciments Portland blancs, même colorés artificiellement)</v>
      </c>
      <c r="C5963">
        <v>393400000</v>
      </c>
      <c r="D5963">
        <v>6555000</v>
      </c>
    </row>
    <row r="5964" spans="1:4" x14ac:dyDescent="0.25">
      <c r="A5964" t="str">
        <f>T("   271019")</f>
        <v xml:space="preserve">   271019</v>
      </c>
      <c r="B5964" t="str">
        <f>T("   Huiles moyennes et préparations, de pétrole ou de minéraux bitumineux, n.d.a.")</f>
        <v xml:space="preserve">   Huiles moyennes et préparations, de pétrole ou de minéraux bitumineux, n.d.a.</v>
      </c>
      <c r="C5964">
        <v>60770510</v>
      </c>
      <c r="D5964">
        <v>176130</v>
      </c>
    </row>
    <row r="5965" spans="1:4" x14ac:dyDescent="0.25">
      <c r="A5965" t="str">
        <f>T("   271113")</f>
        <v xml:space="preserve">   271113</v>
      </c>
      <c r="B5965" t="str">
        <f>T("   Butanes, liquéfiés (à l'excl. des butanes d'une pureté &gt;= 95% en n-butane ou en isobutane)")</f>
        <v xml:space="preserve">   Butanes, liquéfiés (à l'excl. des butanes d'une pureté &gt;= 95% en n-butane ou en isobutane)</v>
      </c>
      <c r="C5965">
        <v>24758090</v>
      </c>
      <c r="D5965">
        <v>222317</v>
      </c>
    </row>
    <row r="5966" spans="1:4" x14ac:dyDescent="0.25">
      <c r="A5966" t="str">
        <f>T("   281121")</f>
        <v xml:space="preserve">   281121</v>
      </c>
      <c r="B5966" t="str">
        <f>T("   DIOXYDE DE CARBONE")</f>
        <v xml:space="preserve">   DIOXYDE DE CARBONE</v>
      </c>
      <c r="C5966">
        <v>17369821</v>
      </c>
      <c r="D5966">
        <v>15000</v>
      </c>
    </row>
    <row r="5967" spans="1:4" x14ac:dyDescent="0.25">
      <c r="A5967" t="str">
        <f>T("   282890")</f>
        <v xml:space="preserve">   282890</v>
      </c>
      <c r="B5967" t="str">
        <f>T("   Hypochlorites, chlorites et hypobromites (à l'excl. des hypochlorites de calcium)")</f>
        <v xml:space="preserve">   Hypochlorites, chlorites et hypobromites (à l'excl. des hypochlorites de calcium)</v>
      </c>
      <c r="C5967">
        <v>1000000</v>
      </c>
      <c r="D5967">
        <v>800</v>
      </c>
    </row>
    <row r="5968" spans="1:4" x14ac:dyDescent="0.25">
      <c r="A5968" t="str">
        <f>T("   284700")</f>
        <v xml:space="preserve">   284700</v>
      </c>
      <c r="B5968" t="str">
        <f>T("   Peroxyde d'hydrogène [eau oxygénée], même solidifié avec de l'urée")</f>
        <v xml:space="preserve">   Peroxyde d'hydrogène [eau oxygénée], même solidifié avec de l'urée</v>
      </c>
      <c r="C5968">
        <v>2800000</v>
      </c>
      <c r="D5968">
        <v>14253</v>
      </c>
    </row>
    <row r="5969" spans="1:4" x14ac:dyDescent="0.25">
      <c r="A5969" t="str">
        <f>T("   285100")</f>
        <v xml:space="preserve">   285100</v>
      </c>
      <c r="B5969" t="str">
        <f>T("   Composés inorganiques, y.c. les eaux distillées, de conductibilité ou de même degré de pureté, n.d.a.; air liquide, y.c. l'air liquide dont les gaz ont été éliminés; air comprimé; amalgames (autres que de métaux précieux)")</f>
        <v xml:space="preserve">   Composés inorganiques, y.c. les eaux distillées, de conductibilité ou de même degré de pureté, n.d.a.; air liquide, y.c. l'air liquide dont les gaz ont été éliminés; air comprimé; amalgames (autres que de métaux précieux)</v>
      </c>
      <c r="C5969">
        <v>400000</v>
      </c>
      <c r="D5969">
        <v>1350</v>
      </c>
    </row>
    <row r="5970" spans="1:4" x14ac:dyDescent="0.25">
      <c r="A5970" t="str">
        <f>T("   290110")</f>
        <v xml:space="preserve">   290110</v>
      </c>
      <c r="B5970" t="str">
        <f>T("   Hydrocarbures acycliques, saturés")</f>
        <v xml:space="preserve">   Hydrocarbures acycliques, saturés</v>
      </c>
      <c r="C5970">
        <v>200000</v>
      </c>
      <c r="D5970">
        <v>800</v>
      </c>
    </row>
    <row r="5971" spans="1:4" x14ac:dyDescent="0.25">
      <c r="A5971" t="str">
        <f>T("   291590")</f>
        <v xml:space="preserve">   291590</v>
      </c>
      <c r="B5971" t="s">
        <v>66</v>
      </c>
      <c r="C5971">
        <v>8662345</v>
      </c>
      <c r="D5971">
        <v>7330</v>
      </c>
    </row>
    <row r="5972" spans="1:4" x14ac:dyDescent="0.25">
      <c r="A5972" t="str">
        <f>T("   300439")</f>
        <v xml:space="preserve">   300439</v>
      </c>
      <c r="B5972" t="s">
        <v>76</v>
      </c>
      <c r="C5972">
        <v>25010030</v>
      </c>
      <c r="D5972">
        <v>8725</v>
      </c>
    </row>
    <row r="5973" spans="1:4" x14ac:dyDescent="0.25">
      <c r="A5973" t="str">
        <f>T("   320820")</f>
        <v xml:space="preserve">   320820</v>
      </c>
      <c r="B5973" t="s">
        <v>95</v>
      </c>
      <c r="C5973">
        <v>223680532</v>
      </c>
      <c r="D5973">
        <v>1021951</v>
      </c>
    </row>
    <row r="5974" spans="1:4" x14ac:dyDescent="0.25">
      <c r="A5974" t="str">
        <f>T("   320890")</f>
        <v xml:space="preserve">   320890</v>
      </c>
      <c r="B5974" t="s">
        <v>96</v>
      </c>
      <c r="C5974">
        <v>2100000</v>
      </c>
      <c r="D5974">
        <v>12700</v>
      </c>
    </row>
    <row r="5975" spans="1:4" x14ac:dyDescent="0.25">
      <c r="A5975" t="str">
        <f>T("   320910")</f>
        <v xml:space="preserve">   320910</v>
      </c>
      <c r="B5975" t="str">
        <f>T("   Peintures et vernis à base de polymères acryliques ou vinyliques, dispersés ou dissous dans un milieu aqueux")</f>
        <v xml:space="preserve">   Peintures et vernis à base de polymères acryliques ou vinyliques, dispersés ou dissous dans un milieu aqueux</v>
      </c>
      <c r="C5975">
        <v>20041216</v>
      </c>
      <c r="D5975">
        <v>147380</v>
      </c>
    </row>
    <row r="5976" spans="1:4" x14ac:dyDescent="0.25">
      <c r="A5976" t="str">
        <f>T("   321410")</f>
        <v xml:space="preserve">   321410</v>
      </c>
      <c r="B5976" t="str">
        <f>T("   Mastic de vitrier, ciments de résine et autres mastics; enduits utilisés en peinture")</f>
        <v xml:space="preserve">   Mastic de vitrier, ciments de résine et autres mastics; enduits utilisés en peinture</v>
      </c>
      <c r="C5976">
        <v>602613</v>
      </c>
      <c r="D5976">
        <v>3890</v>
      </c>
    </row>
    <row r="5977" spans="1:4" x14ac:dyDescent="0.25">
      <c r="A5977" t="str">
        <f>T("   330491")</f>
        <v xml:space="preserve">   330491</v>
      </c>
      <c r="B5977" t="str">
        <f>T("   Poudres pour le maquillage ou l'entretien ou les soins de la peau, y.c. les poudres pour bébés et les poudres compactes (à l'excl. des médicaments)")</f>
        <v xml:space="preserve">   Poudres pour le maquillage ou l'entretien ou les soins de la peau, y.c. les poudres pour bébés et les poudres compactes (à l'excl. des médicaments)</v>
      </c>
      <c r="C5977">
        <v>549215</v>
      </c>
      <c r="D5977">
        <v>2187</v>
      </c>
    </row>
    <row r="5978" spans="1:4" x14ac:dyDescent="0.25">
      <c r="A5978" t="str">
        <f>T("   330499")</f>
        <v xml:space="preserve">   330499</v>
      </c>
      <c r="B5978" t="s">
        <v>100</v>
      </c>
      <c r="C5978">
        <v>188878659</v>
      </c>
      <c r="D5978">
        <v>1029891</v>
      </c>
    </row>
    <row r="5979" spans="1:4" x14ac:dyDescent="0.25">
      <c r="A5979" t="str">
        <f>T("   330530")</f>
        <v xml:space="preserve">   330530</v>
      </c>
      <c r="B5979" t="str">
        <f>T("   Laques pour cheveux")</f>
        <v xml:space="preserve">   Laques pour cheveux</v>
      </c>
      <c r="C5979">
        <v>300000</v>
      </c>
      <c r="D5979">
        <v>780</v>
      </c>
    </row>
    <row r="5980" spans="1:4" x14ac:dyDescent="0.25">
      <c r="A5980" t="str">
        <f>T("   330590")</f>
        <v xml:space="preserve">   330590</v>
      </c>
      <c r="B5980" t="str">
        <f>T("   PRÉPARATIONS CAPILLAIRES (À L'EXCL. DES SHAMPOOINGS, DES LAQUES POUR CHEVEUX ET DES PRÉPARATIONS POUR L'ONDULATION OU LE DÉFRISAGE PERMANENTS)")</f>
        <v xml:space="preserve">   PRÉPARATIONS CAPILLAIRES (À L'EXCL. DES SHAMPOOINGS, DES LAQUES POUR CHEVEUX ET DES PRÉPARATIONS POUR L'ONDULATION OU LE DÉFRISAGE PERMANENTS)</v>
      </c>
      <c r="C5980">
        <v>2017648</v>
      </c>
      <c r="D5980">
        <v>9938</v>
      </c>
    </row>
    <row r="5981" spans="1:4" x14ac:dyDescent="0.25">
      <c r="A5981" t="str">
        <f>T("   330610")</f>
        <v xml:space="preserve">   330610</v>
      </c>
      <c r="B5981" t="str">
        <f>T("   Dentifrices, préparés, même des types utilisés par les dentistes")</f>
        <v xml:space="preserve">   Dentifrices, préparés, même des types utilisés par les dentistes</v>
      </c>
      <c r="C5981">
        <v>86244941</v>
      </c>
      <c r="D5981">
        <v>180738</v>
      </c>
    </row>
    <row r="5982" spans="1:4" x14ac:dyDescent="0.25">
      <c r="A5982" t="str">
        <f>T("   330620")</f>
        <v xml:space="preserve">   330620</v>
      </c>
      <c r="B5982" t="str">
        <f>T("   Fils utilisés pour nettoyer les espaces intermédiaires [fils dentaires], en emballages individuels de détail")</f>
        <v xml:space="preserve">   Fils utilisés pour nettoyer les espaces intermédiaires [fils dentaires], en emballages individuels de détail</v>
      </c>
      <c r="C5982">
        <v>50000</v>
      </c>
      <c r="D5982">
        <v>900</v>
      </c>
    </row>
    <row r="5983" spans="1:4" x14ac:dyDescent="0.25">
      <c r="A5983" t="str">
        <f>T("   330720")</f>
        <v xml:space="preserve">   330720</v>
      </c>
      <c r="B5983" t="str">
        <f>T("   Désodorisants corporels et antisudoraux, préparés")</f>
        <v xml:space="preserve">   Désodorisants corporels et antisudoraux, préparés</v>
      </c>
      <c r="C5983">
        <v>994022</v>
      </c>
      <c r="D5983">
        <v>5170</v>
      </c>
    </row>
    <row r="5984" spans="1:4" x14ac:dyDescent="0.25">
      <c r="A5984" t="str">
        <f>T("   340111")</f>
        <v xml:space="preserve">   340111</v>
      </c>
      <c r="B5984" t="s">
        <v>101</v>
      </c>
      <c r="C5984">
        <v>23455828</v>
      </c>
      <c r="D5984">
        <v>77771</v>
      </c>
    </row>
    <row r="5985" spans="1:4" x14ac:dyDescent="0.25">
      <c r="A5985" t="str">
        <f>T("   340119")</f>
        <v xml:space="preserve">   340119</v>
      </c>
      <c r="B5985" t="s">
        <v>102</v>
      </c>
      <c r="C5985">
        <v>217386734</v>
      </c>
      <c r="D5985">
        <v>558966</v>
      </c>
    </row>
    <row r="5986" spans="1:4" x14ac:dyDescent="0.25">
      <c r="A5986" t="str">
        <f>T("   340120")</f>
        <v xml:space="preserve">   340120</v>
      </c>
      <c r="B5986" t="str">
        <f>T("   Savons en flocons, en paillettes, en granulés ou en poudres et savons liquides ou pâteux")</f>
        <v xml:space="preserve">   Savons en flocons, en paillettes, en granulés ou en poudres et savons liquides ou pâteux</v>
      </c>
      <c r="C5986">
        <v>5542156</v>
      </c>
      <c r="D5986">
        <v>34250</v>
      </c>
    </row>
    <row r="5987" spans="1:4" x14ac:dyDescent="0.25">
      <c r="A5987" t="str">
        <f>T("   340220")</f>
        <v xml:space="preserve">   340220</v>
      </c>
      <c r="B5987" t="s">
        <v>103</v>
      </c>
      <c r="C5987">
        <v>59713455</v>
      </c>
      <c r="D5987">
        <v>336154</v>
      </c>
    </row>
    <row r="5988" spans="1:4" x14ac:dyDescent="0.25">
      <c r="A5988" t="str">
        <f>T("   340290")</f>
        <v xml:space="preserve">   340290</v>
      </c>
      <c r="B5988" t="s">
        <v>104</v>
      </c>
      <c r="C5988">
        <v>7000000</v>
      </c>
      <c r="D5988">
        <v>29650</v>
      </c>
    </row>
    <row r="5989" spans="1:4" x14ac:dyDescent="0.25">
      <c r="A5989" t="str">
        <f>T("   340600")</f>
        <v xml:space="preserve">   340600</v>
      </c>
      <c r="B5989" t="str">
        <f>T("   Bougies, chandelles, cierges et articles simil.")</f>
        <v xml:space="preserve">   Bougies, chandelles, cierges et articles simil.</v>
      </c>
      <c r="C5989">
        <v>1550000</v>
      </c>
      <c r="D5989">
        <v>7600</v>
      </c>
    </row>
    <row r="5990" spans="1:4" x14ac:dyDescent="0.25">
      <c r="A5990" t="str">
        <f>T("   350610")</f>
        <v xml:space="preserve">   350610</v>
      </c>
      <c r="B5990" t="str">
        <f>T("   Produits de toute espèce à usage de colles ou d'adhésifs, conditionnés pour la vente au détail comme colles ou adhésifs, d'un poids net &lt;= 1 kg")</f>
        <v xml:space="preserve">   Produits de toute espèce à usage de colles ou d'adhésifs, conditionnés pour la vente au détail comme colles ou adhésifs, d'un poids net &lt;= 1 kg</v>
      </c>
      <c r="C5990">
        <v>900000</v>
      </c>
      <c r="D5990">
        <v>17288</v>
      </c>
    </row>
    <row r="5991" spans="1:4" x14ac:dyDescent="0.25">
      <c r="A5991" t="str">
        <f>T("   350691")</f>
        <v xml:space="preserve">   350691</v>
      </c>
      <c r="B5991" t="str">
        <f>T("   Adhésifs à base de polymères du n° 3901 à 3913 ou de caoutchouc (à l'excl. des produits conditionnés pour la vente au détail comme colles ou adhésifs, d'un poids net &lt;= 1 kg)")</f>
        <v xml:space="preserve">   Adhésifs à base de polymères du n° 3901 à 3913 ou de caoutchouc (à l'excl. des produits conditionnés pour la vente au détail comme colles ou adhésifs, d'un poids net &lt;= 1 kg)</v>
      </c>
      <c r="C5991">
        <v>8120902</v>
      </c>
      <c r="D5991">
        <v>2400</v>
      </c>
    </row>
    <row r="5992" spans="1:4" x14ac:dyDescent="0.25">
      <c r="A5992" t="str">
        <f>T("   350699")</f>
        <v xml:space="preserve">   350699</v>
      </c>
      <c r="B5992" t="str">
        <f>T("   Colles et autres adhésifs préparés, n.d.a.")</f>
        <v xml:space="preserve">   Colles et autres adhésifs préparés, n.d.a.</v>
      </c>
      <c r="C5992">
        <v>39240</v>
      </c>
      <c r="D5992">
        <v>50</v>
      </c>
    </row>
    <row r="5993" spans="1:4" x14ac:dyDescent="0.25">
      <c r="A5993" t="str">
        <f>T("   360500")</f>
        <v xml:space="preserve">   360500</v>
      </c>
      <c r="B5993" t="str">
        <f>T("   Allumettes (autres que les articles de pyrotechnie du n° 3604)")</f>
        <v xml:space="preserve">   Allumettes (autres que les articles de pyrotechnie du n° 3604)</v>
      </c>
      <c r="C5993">
        <v>100000</v>
      </c>
      <c r="D5993">
        <v>30</v>
      </c>
    </row>
    <row r="5994" spans="1:4" x14ac:dyDescent="0.25">
      <c r="A5994" t="str">
        <f>T("   380810")</f>
        <v xml:space="preserve">   380810</v>
      </c>
      <c r="B5994" t="str">
        <f>T("   Insecticides présentés dans des formes ou emballages de vente au détail ou à l'état de préparations ou sous forme d'articles")</f>
        <v xml:space="preserve">   Insecticides présentés dans des formes ou emballages de vente au détail ou à l'état de préparations ou sous forme d'articles</v>
      </c>
      <c r="C5994">
        <v>1800000</v>
      </c>
      <c r="D5994">
        <v>3600</v>
      </c>
    </row>
    <row r="5995" spans="1:4" x14ac:dyDescent="0.25">
      <c r="A5995" t="str">
        <f>T("   380840")</f>
        <v xml:space="preserve">   380840</v>
      </c>
      <c r="B5995" t="str">
        <f>T("   Désinfectants et produits simil., présentés dans des formes ou emballages de vente au détail ou à l'état de préparations ou sous forme d'articles")</f>
        <v xml:space="preserve">   Désinfectants et produits simil., présentés dans des formes ou emballages de vente au détail ou à l'état de préparations ou sous forme d'articles</v>
      </c>
      <c r="C5995">
        <v>541777</v>
      </c>
      <c r="D5995">
        <v>1400</v>
      </c>
    </row>
    <row r="5996" spans="1:4" x14ac:dyDescent="0.25">
      <c r="A5996" t="str">
        <f>T("   381400")</f>
        <v xml:space="preserve">   381400</v>
      </c>
      <c r="B5996" t="str">
        <f>T("   Solvants et diluants organiques composites, n.d.a.; préparations conçues pour enlever les peintures ou les vernis (à l'excl. des dissolvants pour vernis à ongles)")</f>
        <v xml:space="preserve">   Solvants et diluants organiques composites, n.d.a.; préparations conçues pour enlever les peintures ou les vernis (à l'excl. des dissolvants pour vernis à ongles)</v>
      </c>
      <c r="C5996">
        <v>6800000</v>
      </c>
      <c r="D5996">
        <v>57220</v>
      </c>
    </row>
    <row r="5997" spans="1:4" x14ac:dyDescent="0.25">
      <c r="A5997" t="str">
        <f>T("   390319")</f>
        <v xml:space="preserve">   390319</v>
      </c>
      <c r="B5997" t="str">
        <f>T("   Polystyrène sous formes primaires (à l'excl. du polystyrène expansible)")</f>
        <v xml:space="preserve">   Polystyrène sous formes primaires (à l'excl. du polystyrène expansible)</v>
      </c>
      <c r="C5997">
        <v>2540000</v>
      </c>
      <c r="D5997">
        <v>2050</v>
      </c>
    </row>
    <row r="5998" spans="1:4" x14ac:dyDescent="0.25">
      <c r="A5998" t="str">
        <f>T("   391000")</f>
        <v xml:space="preserve">   391000</v>
      </c>
      <c r="B5998" t="str">
        <f>T("   Silicones sous formes primaires")</f>
        <v xml:space="preserve">   Silicones sous formes primaires</v>
      </c>
      <c r="C5998">
        <v>2270672</v>
      </c>
      <c r="D5998">
        <v>900</v>
      </c>
    </row>
    <row r="5999" spans="1:4" x14ac:dyDescent="0.25">
      <c r="A5999" t="str">
        <f>T("   391723")</f>
        <v xml:space="preserve">   391723</v>
      </c>
      <c r="B5999" t="str">
        <f>T("   TUBES ET TUYAUX RIGIDES, EN POLYMÈRES DU CHLORURE DE VINYLE")</f>
        <v xml:space="preserve">   TUBES ET TUYAUX RIGIDES, EN POLYMÈRES DU CHLORURE DE VINYLE</v>
      </c>
      <c r="C5999">
        <v>86532618</v>
      </c>
      <c r="D5999">
        <v>175833</v>
      </c>
    </row>
    <row r="6000" spans="1:4" x14ac:dyDescent="0.25">
      <c r="A6000" t="str">
        <f>T("   391731")</f>
        <v xml:space="preserve">   391731</v>
      </c>
      <c r="B6000" t="str">
        <f>T("   Tubes et tuyaux souples, en matières plastiques, pouvant supporter une pression &gt;= 27,6 MPa, même munis d'accessoires")</f>
        <v xml:space="preserve">   Tubes et tuyaux souples, en matières plastiques, pouvant supporter une pression &gt;= 27,6 MPa, même munis d'accessoires</v>
      </c>
      <c r="C6000">
        <v>241326</v>
      </c>
      <c r="D6000">
        <v>367</v>
      </c>
    </row>
    <row r="6001" spans="1:4" x14ac:dyDescent="0.25">
      <c r="A6001" t="str">
        <f>T("   391732")</f>
        <v xml:space="preserve">   391732</v>
      </c>
      <c r="B6001" t="str">
        <f>T("   TUBES ET TUYAUX SOUPLES, EN MATIÈRES PLASTIQUES, NON-RENFORCÉS D'AUTRES MATIÈRES NI AUTREMENT ASSOCIÉS À D'AUTRES MATIÈRES, SANS ACCESSOIRES")</f>
        <v xml:space="preserve">   TUBES ET TUYAUX SOUPLES, EN MATIÈRES PLASTIQUES, NON-RENFORCÉS D'AUTRES MATIÈRES NI AUTREMENT ASSOCIÉS À D'AUTRES MATIÈRES, SANS ACCESSOIRES</v>
      </c>
      <c r="C6001">
        <v>1403886</v>
      </c>
      <c r="D6001">
        <v>1930</v>
      </c>
    </row>
    <row r="6002" spans="1:4" x14ac:dyDescent="0.25">
      <c r="A6002" t="str">
        <f>T("   391740")</f>
        <v xml:space="preserve">   391740</v>
      </c>
      <c r="B6002" t="str">
        <f>T("   Accessoires pour tubes ou tuyaux [joints, coudes, raccords, par exemple], en matières plastiques")</f>
        <v xml:space="preserve">   Accessoires pour tubes ou tuyaux [joints, coudes, raccords, par exemple], en matières plastiques</v>
      </c>
      <c r="C6002">
        <v>2531502</v>
      </c>
      <c r="D6002">
        <v>1955</v>
      </c>
    </row>
    <row r="6003" spans="1:4" x14ac:dyDescent="0.25">
      <c r="A6003" t="str">
        <f>T("   391890")</f>
        <v xml:space="preserve">   391890</v>
      </c>
      <c r="B6003" t="s">
        <v>129</v>
      </c>
      <c r="C6003">
        <v>5751080</v>
      </c>
      <c r="D6003">
        <v>10886</v>
      </c>
    </row>
    <row r="6004" spans="1:4" x14ac:dyDescent="0.25">
      <c r="A6004" t="str">
        <f>T("   391990")</f>
        <v xml:space="preserve">   391990</v>
      </c>
      <c r="B6004" t="s">
        <v>130</v>
      </c>
      <c r="C6004">
        <v>1180000</v>
      </c>
      <c r="D6004">
        <v>9817</v>
      </c>
    </row>
    <row r="6005" spans="1:4" x14ac:dyDescent="0.25">
      <c r="A6005" t="str">
        <f>T("   392210")</f>
        <v xml:space="preserve">   392210</v>
      </c>
      <c r="B6005" t="str">
        <f>T("   Baignoires, douches, éviers et lavabos, en matières plastiques")</f>
        <v xml:space="preserve">   Baignoires, douches, éviers et lavabos, en matières plastiques</v>
      </c>
      <c r="C6005">
        <v>1788775</v>
      </c>
      <c r="D6005">
        <v>4345</v>
      </c>
    </row>
    <row r="6006" spans="1:4" x14ac:dyDescent="0.25">
      <c r="A6006" t="str">
        <f>T("   392310")</f>
        <v xml:space="preserve">   392310</v>
      </c>
      <c r="B6006" t="str">
        <f>T("   Boîtes, caisses, casiers et articles simil. pour le transport ou l'emballage, en matières plastiques")</f>
        <v xml:space="preserve">   Boîtes, caisses, casiers et articles simil. pour le transport ou l'emballage, en matières plastiques</v>
      </c>
      <c r="C6006">
        <v>3869042</v>
      </c>
      <c r="D6006">
        <v>4069</v>
      </c>
    </row>
    <row r="6007" spans="1:4" x14ac:dyDescent="0.25">
      <c r="A6007" t="str">
        <f>T("   392321")</f>
        <v xml:space="preserve">   392321</v>
      </c>
      <c r="B6007" t="str">
        <f>T("   Sacs, sachets, pochettes et cornets, en polymères de l'éthylène")</f>
        <v xml:space="preserve">   Sacs, sachets, pochettes et cornets, en polymères de l'éthylène</v>
      </c>
      <c r="C6007">
        <v>50660</v>
      </c>
      <c r="D6007">
        <v>116</v>
      </c>
    </row>
    <row r="6008" spans="1:4" x14ac:dyDescent="0.25">
      <c r="A6008" t="str">
        <f>T("   392329")</f>
        <v xml:space="preserve">   392329</v>
      </c>
      <c r="B6008" t="str">
        <f>T("   Sacs, sachets, pochettes et cornets, en matières plastiques (autres que les polymères de l'éthylène)")</f>
        <v xml:space="preserve">   Sacs, sachets, pochettes et cornets, en matières plastiques (autres que les polymères de l'éthylène)</v>
      </c>
      <c r="C6008">
        <v>176254953</v>
      </c>
      <c r="D6008">
        <v>374504.6</v>
      </c>
    </row>
    <row r="6009" spans="1:4" x14ac:dyDescent="0.25">
      <c r="A6009" t="str">
        <f>T("   392390")</f>
        <v xml:space="preserve">   392390</v>
      </c>
      <c r="B6009" t="s">
        <v>144</v>
      </c>
      <c r="C6009">
        <v>1070000</v>
      </c>
      <c r="D6009">
        <v>9570</v>
      </c>
    </row>
    <row r="6010" spans="1:4" x14ac:dyDescent="0.25">
      <c r="A6010" t="str">
        <f>T("   392410")</f>
        <v xml:space="preserve">   392410</v>
      </c>
      <c r="B6010" t="str">
        <f>T("   Vaisselle et autres articles pour le service de la table ou de la cuisine, en matières plastiques")</f>
        <v xml:space="preserve">   Vaisselle et autres articles pour le service de la table ou de la cuisine, en matières plastiques</v>
      </c>
      <c r="C6010">
        <v>25366276</v>
      </c>
      <c r="D6010">
        <v>44578</v>
      </c>
    </row>
    <row r="6011" spans="1:4" x14ac:dyDescent="0.25">
      <c r="A6011" t="str">
        <f>T("   392490")</f>
        <v xml:space="preserve">   392490</v>
      </c>
      <c r="B6011" t="s">
        <v>145</v>
      </c>
      <c r="C6011">
        <v>30625673</v>
      </c>
      <c r="D6011">
        <v>92552</v>
      </c>
    </row>
    <row r="6012" spans="1:4" x14ac:dyDescent="0.25">
      <c r="A6012" t="str">
        <f>T("   392590")</f>
        <v xml:space="preserve">   392590</v>
      </c>
      <c r="B6012" t="s">
        <v>146</v>
      </c>
      <c r="C6012">
        <v>664495</v>
      </c>
      <c r="D6012">
        <v>200</v>
      </c>
    </row>
    <row r="6013" spans="1:4" x14ac:dyDescent="0.25">
      <c r="A6013" t="str">
        <f>T("   392690")</f>
        <v xml:space="preserve">   392690</v>
      </c>
      <c r="B6013" t="str">
        <f>T("   Ouvrages en matières plastiques et ouvrages en autres matières du n° 3901 à 3914, n.d.a.")</f>
        <v xml:space="preserve">   Ouvrages en matières plastiques et ouvrages en autres matières du n° 3901 à 3914, n.d.a.</v>
      </c>
      <c r="C6013">
        <v>629582</v>
      </c>
      <c r="D6013">
        <v>1281</v>
      </c>
    </row>
    <row r="6014" spans="1:4" x14ac:dyDescent="0.25">
      <c r="A6014" t="str">
        <f>T("   400911")</f>
        <v xml:space="preserve">   400911</v>
      </c>
      <c r="B6014" t="str">
        <f>T("   Tubes et tuyaux en caoutchouc vulcanisé non durci, non renforcés à l'aide d'autres matières ni autrement associés à d'autres matières, sans accessoires")</f>
        <v xml:space="preserve">   Tubes et tuyaux en caoutchouc vulcanisé non durci, non renforcés à l'aide d'autres matières ni autrement associés à d'autres matières, sans accessoires</v>
      </c>
      <c r="C6014">
        <v>123320</v>
      </c>
      <c r="D6014">
        <v>20</v>
      </c>
    </row>
    <row r="6015" spans="1:4" x14ac:dyDescent="0.25">
      <c r="A6015" t="str">
        <f>T("   401110")</f>
        <v xml:space="preserve">   401110</v>
      </c>
      <c r="B6015" t="str">
        <f>T("   Pneumatiques neufs, en caoutchouc, des types utilisés pour les voitures de tourisme, y.c. les voitures du type 'break' et les voitures de course")</f>
        <v xml:space="preserve">   Pneumatiques neufs, en caoutchouc, des types utilisés pour les voitures de tourisme, y.c. les voitures du type 'break' et les voitures de course</v>
      </c>
      <c r="C6015">
        <v>200000</v>
      </c>
      <c r="D6015">
        <v>585</v>
      </c>
    </row>
    <row r="6016" spans="1:4" x14ac:dyDescent="0.25">
      <c r="A6016" t="str">
        <f>T("   401140")</f>
        <v xml:space="preserve">   401140</v>
      </c>
      <c r="B6016" t="str">
        <f>T("   Pneumatiques neufs, en caoutchouc, des types utilisés pour les motocycles")</f>
        <v xml:space="preserve">   Pneumatiques neufs, en caoutchouc, des types utilisés pour les motocycles</v>
      </c>
      <c r="C6016">
        <v>8000000</v>
      </c>
      <c r="D6016">
        <v>17450</v>
      </c>
    </row>
    <row r="6017" spans="1:4" x14ac:dyDescent="0.25">
      <c r="A6017" t="str">
        <f>T("   401390")</f>
        <v xml:space="preserve">   401390</v>
      </c>
      <c r="B6017" t="str">
        <f>T("   Chambres à air, en caoutchouc (à l'excl. des chambres à air des types utilisés pour les voitures de tourisme, les voitures du type 'break', les voitures de course, les autobus, les camions et les bicyclettes)")</f>
        <v xml:space="preserve">   Chambres à air, en caoutchouc (à l'excl. des chambres à air des types utilisés pour les voitures de tourisme, les voitures du type 'break', les voitures de course, les autobus, les camions et les bicyclettes)</v>
      </c>
      <c r="C6017">
        <v>6390000</v>
      </c>
      <c r="D6017">
        <v>36840</v>
      </c>
    </row>
    <row r="6018" spans="1:4" x14ac:dyDescent="0.25">
      <c r="A6018" t="str">
        <f>T("   401691")</f>
        <v xml:space="preserve">   401691</v>
      </c>
      <c r="B6018" t="s">
        <v>156</v>
      </c>
      <c r="C6018">
        <v>1185000</v>
      </c>
      <c r="D6018">
        <v>6565</v>
      </c>
    </row>
    <row r="6019" spans="1:4" x14ac:dyDescent="0.25">
      <c r="A6019" t="str">
        <f>T("   401699")</f>
        <v xml:space="preserve">   401699</v>
      </c>
      <c r="B6019" t="str">
        <f>T("   OUVRAGES EN CAOUTCHOUC VULCANISÉ NON-DURCI, N.D.A.")</f>
        <v xml:space="preserve">   OUVRAGES EN CAOUTCHOUC VULCANISÉ NON-DURCI, N.D.A.</v>
      </c>
      <c r="C6019">
        <v>2073909</v>
      </c>
      <c r="D6019">
        <v>959</v>
      </c>
    </row>
    <row r="6020" spans="1:4" x14ac:dyDescent="0.25">
      <c r="A6020" t="str">
        <f>T("   420219")</f>
        <v xml:space="preserve">   420219</v>
      </c>
      <c r="B6020" t="s">
        <v>161</v>
      </c>
      <c r="C6020">
        <v>2268458</v>
      </c>
      <c r="D6020">
        <v>5750</v>
      </c>
    </row>
    <row r="6021" spans="1:4" x14ac:dyDescent="0.25">
      <c r="A6021" t="str">
        <f>T("   420229")</f>
        <v xml:space="preserve">   420229</v>
      </c>
      <c r="B6021" t="str">
        <f>T("   Sacs à main, même à bandoulière, y.c. ceux sans poignée, à surface extérieure en fibre vulcanisée ou en carton, ou recouverts, en totalité ou en majeure partie, de ces mêmes matières ou de papier")</f>
        <v xml:space="preserve">   Sacs à main, même à bandoulière, y.c. ceux sans poignée, à surface extérieure en fibre vulcanisée ou en carton, ou recouverts, en totalité ou en majeure partie, de ces mêmes matières ou de papier</v>
      </c>
      <c r="C6021">
        <v>24298586</v>
      </c>
      <c r="D6021">
        <v>122965</v>
      </c>
    </row>
    <row r="6022" spans="1:4" x14ac:dyDescent="0.25">
      <c r="A6022" t="str">
        <f>T("   420291")</f>
        <v xml:space="preserve">   420291</v>
      </c>
      <c r="B6022" t="s">
        <v>163</v>
      </c>
      <c r="C6022">
        <v>1236154</v>
      </c>
      <c r="D6022">
        <v>15985</v>
      </c>
    </row>
    <row r="6023" spans="1:4" x14ac:dyDescent="0.25">
      <c r="A6023" t="str">
        <f>T("   420292")</f>
        <v xml:space="preserve">   420292</v>
      </c>
      <c r="B6023" t="s">
        <v>163</v>
      </c>
      <c r="C6023">
        <v>2652000</v>
      </c>
      <c r="D6023">
        <v>12620</v>
      </c>
    </row>
    <row r="6024" spans="1:4" x14ac:dyDescent="0.25">
      <c r="A6024" t="str">
        <f>T("   420299")</f>
        <v xml:space="preserve">   420299</v>
      </c>
      <c r="B6024" t="s">
        <v>164</v>
      </c>
      <c r="C6024">
        <v>200000</v>
      </c>
      <c r="D6024">
        <v>1800</v>
      </c>
    </row>
    <row r="6025" spans="1:4" x14ac:dyDescent="0.25">
      <c r="A6025" t="str">
        <f>T("   440890")</f>
        <v xml:space="preserve">   440890</v>
      </c>
      <c r="B6025" t="s">
        <v>170</v>
      </c>
      <c r="C6025">
        <v>42131532</v>
      </c>
      <c r="D6025">
        <v>160000</v>
      </c>
    </row>
    <row r="6026" spans="1:4" x14ac:dyDescent="0.25">
      <c r="A6026" t="str">
        <f>T("   441111")</f>
        <v xml:space="preserve">   441111</v>
      </c>
      <c r="B6026" t="s">
        <v>171</v>
      </c>
      <c r="C6026">
        <v>631304</v>
      </c>
      <c r="D6026">
        <v>769</v>
      </c>
    </row>
    <row r="6027" spans="1:4" x14ac:dyDescent="0.25">
      <c r="A6027" t="str">
        <f>T("   441213")</f>
        <v xml:space="preserve">   441213</v>
      </c>
      <c r="B6027" t="s">
        <v>176</v>
      </c>
      <c r="C6027">
        <v>201769268</v>
      </c>
      <c r="D6027">
        <v>727385</v>
      </c>
    </row>
    <row r="6028" spans="1:4" x14ac:dyDescent="0.25">
      <c r="A6028" t="str">
        <f>T("   441219")</f>
        <v xml:space="preserve">   441219</v>
      </c>
      <c r="B6028" t="s">
        <v>177</v>
      </c>
      <c r="C6028">
        <v>73903651</v>
      </c>
      <c r="D6028">
        <v>159240</v>
      </c>
    </row>
    <row r="6029" spans="1:4" x14ac:dyDescent="0.25">
      <c r="A6029" t="str">
        <f>T("   441223")</f>
        <v xml:space="preserve">   441223</v>
      </c>
      <c r="B6029" t="s">
        <v>178</v>
      </c>
      <c r="C6029">
        <v>22276837</v>
      </c>
      <c r="D6029">
        <v>69760</v>
      </c>
    </row>
    <row r="6030" spans="1:4" x14ac:dyDescent="0.25">
      <c r="A6030" t="str">
        <f>T("   441229")</f>
        <v xml:space="preserve">   441229</v>
      </c>
      <c r="B6030" t="s">
        <v>179</v>
      </c>
      <c r="C6030">
        <v>17735000</v>
      </c>
      <c r="D6030">
        <v>55000</v>
      </c>
    </row>
    <row r="6031" spans="1:4" x14ac:dyDescent="0.25">
      <c r="A6031" t="str">
        <f>T("   442110")</f>
        <v xml:space="preserve">   442110</v>
      </c>
      <c r="B6031" t="str">
        <f>T("   Cintres pour vêtements, en bois")</f>
        <v xml:space="preserve">   Cintres pour vêtements, en bois</v>
      </c>
      <c r="C6031">
        <v>1441593</v>
      </c>
      <c r="D6031">
        <v>6880</v>
      </c>
    </row>
    <row r="6032" spans="1:4" x14ac:dyDescent="0.25">
      <c r="A6032" t="str">
        <f>T("   460199")</f>
        <v xml:space="preserve">   460199</v>
      </c>
      <c r="B6032" t="str">
        <f>T("   MATIÈRES À TRESSER, TRESSES ET ARTICLES SIMIL., EN MATIÈRES À TRESSER NON-VÉGÉTALES, TISSÉS OU PARALLÉLISÉS, À PLAT (À L'EXCL. DES REVÊTEMENTS MURAUX DU N° 4814 AINSI QUE DES PARTIES DE CHAUSSURES OU DE COIFFURES)")</f>
        <v xml:space="preserve">   MATIÈRES À TRESSER, TRESSES ET ARTICLES SIMIL., EN MATIÈRES À TRESSER NON-VÉGÉTALES, TISSÉS OU PARALLÉLISÉS, À PLAT (À L'EXCL. DES REVÊTEMENTS MURAUX DU N° 4814 AINSI QUE DES PARTIES DE CHAUSSURES OU DE COIFFURES)</v>
      </c>
      <c r="C6032">
        <v>2725000</v>
      </c>
      <c r="D6032">
        <v>16855</v>
      </c>
    </row>
    <row r="6033" spans="1:4" x14ac:dyDescent="0.25">
      <c r="A6033" t="str">
        <f>T("   470790")</f>
        <v xml:space="preserve">   470790</v>
      </c>
      <c r="B6033" t="s">
        <v>187</v>
      </c>
      <c r="C6033">
        <v>13380278</v>
      </c>
      <c r="D6033">
        <v>118690</v>
      </c>
    </row>
    <row r="6034" spans="1:4" x14ac:dyDescent="0.25">
      <c r="A6034" t="str">
        <f>T("   481810")</f>
        <v xml:space="preserve">   481810</v>
      </c>
      <c r="B6034" t="str">
        <f>T("   Papier hygiénique, en rouleaux d'une largeur &lt;= 36 cm")</f>
        <v xml:space="preserve">   Papier hygiénique, en rouleaux d'une largeur &lt;= 36 cm</v>
      </c>
      <c r="C6034">
        <v>1650000</v>
      </c>
      <c r="D6034">
        <v>8726</v>
      </c>
    </row>
    <row r="6035" spans="1:4" x14ac:dyDescent="0.25">
      <c r="A6035" t="str">
        <f>T("   481820")</f>
        <v xml:space="preserve">   481820</v>
      </c>
      <c r="B6035" t="str">
        <f>T("   Mouchoirs, serviettes à démaquiller et essuie-mains, en pâte à papier, papier, ouate de cellulose ou nappes de fibres de cellulose")</f>
        <v xml:space="preserve">   Mouchoirs, serviettes à démaquiller et essuie-mains, en pâte à papier, papier, ouate de cellulose ou nappes de fibres de cellulose</v>
      </c>
      <c r="C6035">
        <v>9406900</v>
      </c>
      <c r="D6035">
        <v>8934</v>
      </c>
    </row>
    <row r="6036" spans="1:4" x14ac:dyDescent="0.25">
      <c r="A6036" t="str">
        <f>T("   481840")</f>
        <v xml:space="preserve">   481840</v>
      </c>
      <c r="B6036" t="str">
        <f>T("   Serviettes et tampons hygiéniques, couches pour bébés et articles hygiéniques simil., en pâte à papier, papier, ouate de cellulose ou nappes de fibres de cellulose")</f>
        <v xml:space="preserve">   Serviettes et tampons hygiéniques, couches pour bébés et articles hygiéniques simil., en pâte à papier, papier, ouate de cellulose ou nappes de fibres de cellulose</v>
      </c>
      <c r="C6036">
        <v>28318615</v>
      </c>
      <c r="D6036">
        <v>153137</v>
      </c>
    </row>
    <row r="6037" spans="1:4" x14ac:dyDescent="0.25">
      <c r="A6037" t="str">
        <f>T("   481910")</f>
        <v xml:space="preserve">   481910</v>
      </c>
      <c r="B6037" t="str">
        <f>T("   Boîtes et caisses en papier ou en carton ondulé")</f>
        <v xml:space="preserve">   Boîtes et caisses en papier ou en carton ondulé</v>
      </c>
      <c r="C6037">
        <v>129080444</v>
      </c>
      <c r="D6037">
        <v>222592</v>
      </c>
    </row>
    <row r="6038" spans="1:4" x14ac:dyDescent="0.25">
      <c r="A6038" t="str">
        <f>T("   481920")</f>
        <v xml:space="preserve">   481920</v>
      </c>
      <c r="B6038" t="str">
        <f>T("   Boîtes et cartonnages, pliants, en papier ou en carton non ondulé")</f>
        <v xml:space="preserve">   Boîtes et cartonnages, pliants, en papier ou en carton non ondulé</v>
      </c>
      <c r="C6038">
        <v>28814128</v>
      </c>
      <c r="D6038">
        <v>125150</v>
      </c>
    </row>
    <row r="6039" spans="1:4" x14ac:dyDescent="0.25">
      <c r="A6039" t="str">
        <f>T("   481950")</f>
        <v xml:space="preserve">   481950</v>
      </c>
      <c r="B6039" t="s">
        <v>216</v>
      </c>
      <c r="C6039">
        <v>1580000</v>
      </c>
      <c r="D6039">
        <v>670</v>
      </c>
    </row>
    <row r="6040" spans="1:4" x14ac:dyDescent="0.25">
      <c r="A6040" t="str">
        <f>T("   481960")</f>
        <v xml:space="preserve">   481960</v>
      </c>
      <c r="B6040" t="str">
        <f>T("   Cartonnages de bureau, de magasin ou simil., rigides (à l'excl. des emballages)")</f>
        <v xml:space="preserve">   Cartonnages de bureau, de magasin ou simil., rigides (à l'excl. des emballages)</v>
      </c>
      <c r="C6040">
        <v>18400428</v>
      </c>
      <c r="D6040">
        <v>22711</v>
      </c>
    </row>
    <row r="6041" spans="1:4" x14ac:dyDescent="0.25">
      <c r="A6041" t="str">
        <f>T("   482010")</f>
        <v xml:space="preserve">   482010</v>
      </c>
      <c r="B6041" t="str">
        <f>T("   Registres, livres comptables, carnets de notes, de commandes ou de quittances, blocs-mémorandums, blocs de papier à lettres, agendas et ouvrages simil., en papier ou carton")</f>
        <v xml:space="preserve">   Registres, livres comptables, carnets de notes, de commandes ou de quittances, blocs-mémorandums, blocs de papier à lettres, agendas et ouvrages simil., en papier ou carton</v>
      </c>
      <c r="C6041">
        <v>160415</v>
      </c>
      <c r="D6041">
        <v>96</v>
      </c>
    </row>
    <row r="6042" spans="1:4" x14ac:dyDescent="0.25">
      <c r="A6042" t="str">
        <f>T("   482020")</f>
        <v xml:space="preserve">   482020</v>
      </c>
      <c r="B6042" t="str">
        <f>T("   Cahiers pour l'écriture, en papier ou carton")</f>
        <v xml:space="preserve">   Cahiers pour l'écriture, en papier ou carton</v>
      </c>
      <c r="C6042">
        <v>1603435</v>
      </c>
      <c r="D6042">
        <v>5414</v>
      </c>
    </row>
    <row r="6043" spans="1:4" x14ac:dyDescent="0.25">
      <c r="A6043" t="str">
        <f>T("   490199")</f>
        <v xml:space="preserve">   490199</v>
      </c>
      <c r="B6043"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6043">
        <v>52891</v>
      </c>
      <c r="D6043">
        <v>25</v>
      </c>
    </row>
    <row r="6044" spans="1:4" x14ac:dyDescent="0.25">
      <c r="A6044" t="str">
        <f>T("   520419")</f>
        <v xml:space="preserve">   520419</v>
      </c>
      <c r="B6044" t="str">
        <f>T("   Fils à coudre de coton, contenant en prédominance, mais &lt; 85% en poids de coton, non conditionnés pour la vente au détail")</f>
        <v xml:space="preserve">   Fils à coudre de coton, contenant en prédominance, mais &lt; 85% en poids de coton, non conditionnés pour la vente au détail</v>
      </c>
      <c r="C6044">
        <v>400000</v>
      </c>
      <c r="D6044">
        <v>700</v>
      </c>
    </row>
    <row r="6045" spans="1:4" x14ac:dyDescent="0.25">
      <c r="A6045" t="str">
        <f>T("   520420")</f>
        <v xml:space="preserve">   520420</v>
      </c>
      <c r="B6045" t="str">
        <f>T("   Fils à coudre de coton, conditionnés pour la vente au détail")</f>
        <v xml:space="preserve">   Fils à coudre de coton, conditionnés pour la vente au détail</v>
      </c>
      <c r="C6045">
        <v>11610000</v>
      </c>
      <c r="D6045">
        <v>37140</v>
      </c>
    </row>
    <row r="6046" spans="1:4" x14ac:dyDescent="0.25">
      <c r="A6046" t="str">
        <f>T("   520841")</f>
        <v xml:space="preserve">   520841</v>
      </c>
      <c r="B6046" t="str">
        <f>T("   Tissus de coton, en fils de diverses couleurs, à armure toile, contenant &gt;= 85% en poids de coton, d'un poids &lt;= 100 g/m²")</f>
        <v xml:space="preserve">   Tissus de coton, en fils de diverses couleurs, à armure toile, contenant &gt;= 85% en poids de coton, d'un poids &lt;= 100 g/m²</v>
      </c>
      <c r="C6046">
        <v>13000000</v>
      </c>
      <c r="D6046">
        <v>16586</v>
      </c>
    </row>
    <row r="6047" spans="1:4" x14ac:dyDescent="0.25">
      <c r="A6047" t="str">
        <f>T("   520849")</f>
        <v xml:space="preserve">   520849</v>
      </c>
      <c r="B6047" t="str">
        <f>T("   Tissus de coton, en fils de diverses couleurs, contenant &gt;= 85% en poids de coton, d'un poids &lt;= 200 g/m² (à l'excl. des tissus à armure toile ou à armure sergé [y.c. le croisé] d'un rapport d'armure &lt;= 4)")</f>
        <v xml:space="preserve">   Tissus de coton, en fils de diverses couleurs, contenant &gt;= 85% en poids de coton, d'un poids &lt;= 200 g/m² (à l'excl. des tissus à armure toile ou à armure sergé [y.c. le croisé] d'un rapport d'armure &lt;= 4)</v>
      </c>
      <c r="C6047">
        <v>300000</v>
      </c>
      <c r="D6047">
        <v>352</v>
      </c>
    </row>
    <row r="6048" spans="1:4" x14ac:dyDescent="0.25">
      <c r="A6048" t="str">
        <f>T("   520852")</f>
        <v xml:space="preserve">   520852</v>
      </c>
      <c r="B6048" t="str">
        <f>T("   Tissus de coton, imprimés, à armure toile, contenant &gt;= 85% en poids de coton, d'un poids &gt; 100 g/m² mais &lt;= 200 g/m²")</f>
        <v xml:space="preserve">   Tissus de coton, imprimés, à armure toile, contenant &gt;= 85% en poids de coton, d'un poids &gt; 100 g/m² mais &lt;= 200 g/m²</v>
      </c>
      <c r="C6048">
        <v>1269655171</v>
      </c>
      <c r="D6048">
        <v>176847</v>
      </c>
    </row>
    <row r="6049" spans="1:4" x14ac:dyDescent="0.25">
      <c r="A6049" t="str">
        <f>T("   520859")</f>
        <v xml:space="preserve">   520859</v>
      </c>
      <c r="B6049" t="str">
        <f>T("   TISSUS DE COTON, IMPRIMÉS, CONTENANT &gt;= 85% EN POIDS DE COTON, D'UN POIDS &lt;= 200 G/M² (À L'EXCL. DES TISSUS À ARMURE TOILE)")</f>
        <v xml:space="preserve">   TISSUS DE COTON, IMPRIMÉS, CONTENANT &gt;= 85% EN POIDS DE COTON, D'UN POIDS &lt;= 200 G/M² (À L'EXCL. DES TISSUS À ARMURE TOILE)</v>
      </c>
      <c r="C6049">
        <v>1300000</v>
      </c>
      <c r="D6049">
        <v>3584</v>
      </c>
    </row>
    <row r="6050" spans="1:4" x14ac:dyDescent="0.25">
      <c r="A6050" t="str">
        <f>T("   520929")</f>
        <v xml:space="preserve">   520929</v>
      </c>
      <c r="B6050" t="str">
        <f>T("   Tissus de coton, blanchis, contenant &gt;= 85% en poids de coton, d'un poids &gt; 200 g/m² (à l'excl. des tissus à armure toile ou à armure sergé [y.c. le croisé] d'un rapport d'armure &lt;= 4)")</f>
        <v xml:space="preserve">   Tissus de coton, blanchis, contenant &gt;= 85% en poids de coton, d'un poids &gt; 200 g/m² (à l'excl. des tissus à armure toile ou à armure sergé [y.c. le croisé] d'un rapport d'armure &lt;= 4)</v>
      </c>
      <c r="C6050">
        <v>16000000</v>
      </c>
      <c r="D6050">
        <v>28140</v>
      </c>
    </row>
    <row r="6051" spans="1:4" x14ac:dyDescent="0.25">
      <c r="A6051" t="str">
        <f>T("   520951")</f>
        <v xml:space="preserve">   520951</v>
      </c>
      <c r="B6051" t="str">
        <f>T("   Tissus de coton, imprimés, à armure toile, contenant &gt;= 85% en poids de coton, d'un poids &gt; 200 g/m²")</f>
        <v xml:space="preserve">   Tissus de coton, imprimés, à armure toile, contenant &gt;= 85% en poids de coton, d'un poids &gt; 200 g/m²</v>
      </c>
      <c r="C6051">
        <v>37678504</v>
      </c>
      <c r="D6051">
        <v>8239</v>
      </c>
    </row>
    <row r="6052" spans="1:4" x14ac:dyDescent="0.25">
      <c r="A6052" t="str">
        <f>T("   540110")</f>
        <v xml:space="preserve">   540110</v>
      </c>
      <c r="B6052" t="str">
        <f>T("   Fils à coudre de filaments synthétiques, même conditionnés pour la vente au détail")</f>
        <v xml:space="preserve">   Fils à coudre de filaments synthétiques, même conditionnés pour la vente au détail</v>
      </c>
      <c r="C6052">
        <v>1976221</v>
      </c>
      <c r="D6052">
        <v>17250</v>
      </c>
    </row>
    <row r="6053" spans="1:4" x14ac:dyDescent="0.25">
      <c r="A6053" t="str">
        <f>T("   540239")</f>
        <v xml:space="preserve">   540239</v>
      </c>
      <c r="B6053" t="str">
        <f>T("   FILS TEXTURÉS DE FILAMENTS SYNTHÉTIQUES, NON-CONDITIONNÉS POUR LA VENTE AU DÉTAIL (À L'EXCL. DES FILS À COUDRE AINSI QUE DES FILS TEXTURÉS DE FILAMENTS DE POLYESTERS, DE NYLON OU D'AUTRES POLYAMIDES)")</f>
        <v xml:space="preserve">   FILS TEXTURÉS DE FILAMENTS SYNTHÉTIQUES, NON-CONDITIONNÉS POUR LA VENTE AU DÉTAIL (À L'EXCL. DES FILS À COUDRE AINSI QUE DES FILS TEXTURÉS DE FILAMENTS DE POLYESTERS, DE NYLON OU D'AUTRES POLYAMIDES)</v>
      </c>
      <c r="C6053">
        <v>600000</v>
      </c>
      <c r="D6053">
        <v>1500</v>
      </c>
    </row>
    <row r="6054" spans="1:4" x14ac:dyDescent="0.25">
      <c r="A6054" t="str">
        <f>T("   550490")</f>
        <v xml:space="preserve">   550490</v>
      </c>
      <c r="B6054" t="str">
        <f>T("   Fibres artificielles discontinues, non cardées ni peignées ni autrement transformées pour la filature (à l'excl. des fibres de viscose)")</f>
        <v xml:space="preserve">   Fibres artificielles discontinues, non cardées ni peignées ni autrement transformées pour la filature (à l'excl. des fibres de viscose)</v>
      </c>
      <c r="C6054">
        <v>3500000</v>
      </c>
      <c r="D6054">
        <v>800</v>
      </c>
    </row>
    <row r="6055" spans="1:4" x14ac:dyDescent="0.25">
      <c r="A6055" t="str">
        <f>T("   551219")</f>
        <v xml:space="preserve">   551219</v>
      </c>
      <c r="B6055" t="str">
        <f>T("   Tissus, teints, imprimés ou en fils de diverses couleurs, de fibres discontinues de polyester, contenant &gt;= 85% en poids de ces fibres")</f>
        <v xml:space="preserve">   Tissus, teints, imprimés ou en fils de diverses couleurs, de fibres discontinues de polyester, contenant &gt;= 85% en poids de ces fibres</v>
      </c>
      <c r="C6055">
        <v>293492</v>
      </c>
      <c r="D6055">
        <v>695</v>
      </c>
    </row>
    <row r="6056" spans="1:4" x14ac:dyDescent="0.25">
      <c r="A6056" t="str">
        <f>T("   551313")</f>
        <v xml:space="preserve">   551313</v>
      </c>
      <c r="B6056" t="s">
        <v>230</v>
      </c>
      <c r="C6056">
        <v>29605300</v>
      </c>
      <c r="D6056">
        <v>35820</v>
      </c>
    </row>
    <row r="6057" spans="1:4" x14ac:dyDescent="0.25">
      <c r="A6057" t="str">
        <f>T("   551319")</f>
        <v xml:space="preserve">   551319</v>
      </c>
      <c r="B6057" t="s">
        <v>231</v>
      </c>
      <c r="C6057">
        <v>7400000</v>
      </c>
      <c r="D6057">
        <v>14685</v>
      </c>
    </row>
    <row r="6058" spans="1:4" x14ac:dyDescent="0.25">
      <c r="A6058" t="str">
        <f>T("   551599")</f>
        <v xml:space="preserve">   551599</v>
      </c>
      <c r="B6058" t="s">
        <v>240</v>
      </c>
      <c r="C6058">
        <v>100000</v>
      </c>
      <c r="D6058">
        <v>580</v>
      </c>
    </row>
    <row r="6059" spans="1:4" x14ac:dyDescent="0.25">
      <c r="A6059" t="str">
        <f>T("   560110")</f>
        <v xml:space="preserve">   560110</v>
      </c>
      <c r="B6059" t="str">
        <f>T("   Serviettes et tampons hygiéniques, couches pour bébés et articles hygiéniques simil., en ouates")</f>
        <v xml:space="preserve">   Serviettes et tampons hygiéniques, couches pour bébés et articles hygiéniques simil., en ouates</v>
      </c>
      <c r="C6059">
        <v>134860</v>
      </c>
      <c r="D6059">
        <v>500</v>
      </c>
    </row>
    <row r="6060" spans="1:4" x14ac:dyDescent="0.25">
      <c r="A6060" t="str">
        <f>T("   560490")</f>
        <v xml:space="preserve">   560490</v>
      </c>
      <c r="B6060" t="str">
        <f>T("   FILS TEXTILES, LAMES ET FORMES SIMIL. DU N° 5404 OU 5405, IMPRÉGNÉS, ENDUITS, RECOUVERTS OU GAINÉS DE CAOUTCHOUC OU DE MATIÈRE PLASTIQUE (À L'EXCL. DES IMITATIONS DE CATGUT MUNIES D'HAMEÇONS OU AUTREMENT MONTÉES EN LIGNES)")</f>
        <v xml:space="preserve">   FILS TEXTILES, LAMES ET FORMES SIMIL. DU N° 5404 OU 5405, IMPRÉGNÉS, ENDUITS, RECOUVERTS OU GAINÉS DE CAOUTCHOUC OU DE MATIÈRE PLASTIQUE (À L'EXCL. DES IMITATIONS DE CATGUT MUNIES D'HAMEÇONS OU AUTREMENT MONTÉES EN LIGNES)</v>
      </c>
      <c r="C6060">
        <v>120000</v>
      </c>
      <c r="D6060">
        <v>625</v>
      </c>
    </row>
    <row r="6061" spans="1:4" x14ac:dyDescent="0.25">
      <c r="A6061" t="str">
        <f>T("   560811")</f>
        <v xml:space="preserve">   560811</v>
      </c>
      <c r="B6061" t="str">
        <f>T("   Filets confectionnés pour la pêche, à mailles nouées, en matières textiles synthétiques ou artificielles (à l'excl. des épuisettes)")</f>
        <v xml:space="preserve">   Filets confectionnés pour la pêche, à mailles nouées, en matières textiles synthétiques ou artificielles (à l'excl. des épuisettes)</v>
      </c>
      <c r="C6061">
        <v>3350000</v>
      </c>
      <c r="D6061">
        <v>22090</v>
      </c>
    </row>
    <row r="6062" spans="1:4" x14ac:dyDescent="0.25">
      <c r="A6062" t="str">
        <f>T("   560819")</f>
        <v xml:space="preserve">   560819</v>
      </c>
      <c r="B6062" t="s">
        <v>244</v>
      </c>
      <c r="C6062">
        <v>300000</v>
      </c>
      <c r="D6062">
        <v>1500</v>
      </c>
    </row>
    <row r="6063" spans="1:4" x14ac:dyDescent="0.25">
      <c r="A6063" t="str">
        <f>T("   560890")</f>
        <v xml:space="preserve">   560890</v>
      </c>
      <c r="B6063" t="s">
        <v>245</v>
      </c>
      <c r="C6063">
        <v>4600000</v>
      </c>
      <c r="D6063">
        <v>31530</v>
      </c>
    </row>
    <row r="6064" spans="1:4" x14ac:dyDescent="0.25">
      <c r="A6064" t="str">
        <f>T("   580429")</f>
        <v xml:space="preserve">   580429</v>
      </c>
      <c r="B6064" t="str">
        <f>T("   Dentelles à la mécanique, en pièces, en bandes ou en motifs (à l'excl. des articles de fibres synthétiques ou artificielles ainsi que des produits du n° 6002 à 6006)")</f>
        <v xml:space="preserve">   Dentelles à la mécanique, en pièces, en bandes ou en motifs (à l'excl. des articles de fibres synthétiques ou artificielles ainsi que des produits du n° 6002 à 6006)</v>
      </c>
      <c r="C6064">
        <v>4500000</v>
      </c>
      <c r="D6064">
        <v>10900</v>
      </c>
    </row>
    <row r="6065" spans="1:4" x14ac:dyDescent="0.25">
      <c r="A6065" t="str">
        <f>T("   580790")</f>
        <v xml:space="preserve">   580790</v>
      </c>
      <c r="B6065" t="str">
        <f>T("   ÉTIQUETTES, ÉCUSSONS ET ARTICLES SIMIL. EN MATIÈRES TEXTILES, EN PIÈCES, EN RUBANS OU DÉCOUPÉS, NON-BRODÉS (À L'EXCL. DES ARTICLES TISSÉS)")</f>
        <v xml:space="preserve">   ÉTIQUETTES, ÉCUSSONS ET ARTICLES SIMIL. EN MATIÈRES TEXTILES, EN PIÈCES, EN RUBANS OU DÉCOUPÉS, NON-BRODÉS (À L'EXCL. DES ARTICLES TISSÉS)</v>
      </c>
      <c r="C6065">
        <v>299315</v>
      </c>
      <c r="D6065">
        <v>177</v>
      </c>
    </row>
    <row r="6066" spans="1:4" x14ac:dyDescent="0.25">
      <c r="A6066" t="str">
        <f>T("   610910")</f>
        <v xml:space="preserve">   610910</v>
      </c>
      <c r="B6066" t="str">
        <f>T("   T-shirts et maillots de corps, en bonneterie, de coton,")</f>
        <v xml:space="preserve">   T-shirts et maillots de corps, en bonneterie, de coton,</v>
      </c>
      <c r="C6066">
        <v>7700000</v>
      </c>
      <c r="D6066">
        <v>26260</v>
      </c>
    </row>
    <row r="6067" spans="1:4" x14ac:dyDescent="0.25">
      <c r="A6067" t="str">
        <f>T("   610990")</f>
        <v xml:space="preserve">   610990</v>
      </c>
      <c r="B6067" t="str">
        <f>T("   T-shirts et maillots de corps, en bonneterie, de matières textiles (sauf de coton)")</f>
        <v xml:space="preserve">   T-shirts et maillots de corps, en bonneterie, de matières textiles (sauf de coton)</v>
      </c>
      <c r="C6067">
        <v>33587685</v>
      </c>
      <c r="D6067">
        <v>117220</v>
      </c>
    </row>
    <row r="6068" spans="1:4" x14ac:dyDescent="0.25">
      <c r="A6068" t="str">
        <f>T("   611190")</f>
        <v xml:space="preserve">   611190</v>
      </c>
      <c r="B6068" t="str">
        <f>T("   VÊTEMENTS ET ACCESSOIRES DU VÊTEMENT, EN BONNETERIE, DE MATIÈRES TEXTILES, POUR BÉBÉS (SAUF DE COTON, FIBRES SYNTHÉTIQUES ET SAUF BONNETS)")</f>
        <v xml:space="preserve">   VÊTEMENTS ET ACCESSOIRES DU VÊTEMENT, EN BONNETERIE, DE MATIÈRES TEXTILES, POUR BÉBÉS (SAUF DE COTON, FIBRES SYNTHÉTIQUES ET SAUF BONNETS)</v>
      </c>
      <c r="C6068">
        <v>3000000</v>
      </c>
      <c r="D6068">
        <v>10000</v>
      </c>
    </row>
    <row r="6069" spans="1:4" x14ac:dyDescent="0.25">
      <c r="A6069" t="str">
        <f>T("   621790")</f>
        <v xml:space="preserve">   621790</v>
      </c>
      <c r="B6069" t="str">
        <f>T("   Parties de vêtements ou d'accessoires du vêtement, en tous types de matières textiles, n.d.a. (autres qu'en bonneterie)")</f>
        <v xml:space="preserve">   Parties de vêtements ou d'accessoires du vêtement, en tous types de matières textiles, n.d.a. (autres qu'en bonneterie)</v>
      </c>
      <c r="C6069">
        <v>339669</v>
      </c>
      <c r="D6069">
        <v>36</v>
      </c>
    </row>
    <row r="6070" spans="1:4" x14ac:dyDescent="0.25">
      <c r="A6070" t="str">
        <f>T("   630239")</f>
        <v xml:space="preserve">   630239</v>
      </c>
      <c r="B6070" t="str">
        <f>T("   Linge de lit de matières textiles (autres que de coton, fibres synthétiques ou artificielles, autre qu'imprimé, autre qu'en bonneterie)")</f>
        <v xml:space="preserve">   Linge de lit de matières textiles (autres que de coton, fibres synthétiques ou artificielles, autre qu'imprimé, autre qu'en bonneterie)</v>
      </c>
      <c r="C6070">
        <v>450566</v>
      </c>
      <c r="D6070">
        <v>5826</v>
      </c>
    </row>
    <row r="6071" spans="1:4" x14ac:dyDescent="0.25">
      <c r="A6071" t="str">
        <f>T("   630399")</f>
        <v xml:space="preserve">   630399</v>
      </c>
      <c r="B6071" t="str">
        <f>T("   Vitrages, rideaux et stores d'intérieur ainsi que cantonnières et tours de lit, de matières textiles (autres que de coton et fibres synthétiques, autres qu'en bonneterie et autres que stores d'extérieur)")</f>
        <v xml:space="preserve">   Vitrages, rideaux et stores d'intérieur ainsi que cantonnières et tours de lit, de matières textiles (autres que de coton et fibres synthétiques, autres qu'en bonneterie et autres que stores d'extérieur)</v>
      </c>
      <c r="C6071">
        <v>1020404</v>
      </c>
      <c r="D6071">
        <v>1475</v>
      </c>
    </row>
    <row r="6072" spans="1:4" x14ac:dyDescent="0.25">
      <c r="A6072" t="str">
        <f>T("   630499")</f>
        <v xml:space="preserve">   630499</v>
      </c>
      <c r="B6072" t="s">
        <v>279</v>
      </c>
      <c r="C6072">
        <v>500000</v>
      </c>
      <c r="D6072">
        <v>1055</v>
      </c>
    </row>
    <row r="6073" spans="1:4" x14ac:dyDescent="0.25">
      <c r="A6073" t="str">
        <f>T("   630510")</f>
        <v xml:space="preserve">   630510</v>
      </c>
      <c r="B6073" t="str">
        <f>T("   Sacs et sachets d'emballage de jute ou d'autres fibres textiles libériennes du n° 5303")</f>
        <v xml:space="preserve">   Sacs et sachets d'emballage de jute ou d'autres fibres textiles libériennes du n° 5303</v>
      </c>
      <c r="C6073">
        <v>27875161</v>
      </c>
      <c r="D6073">
        <v>222540</v>
      </c>
    </row>
    <row r="6074" spans="1:4" x14ac:dyDescent="0.25">
      <c r="A6074" t="str">
        <f>T("   630900")</f>
        <v xml:space="preserve">   630900</v>
      </c>
      <c r="B6074" t="s">
        <v>280</v>
      </c>
      <c r="C6074">
        <v>1000000</v>
      </c>
      <c r="D6074">
        <v>4800</v>
      </c>
    </row>
    <row r="6075" spans="1:4" x14ac:dyDescent="0.25">
      <c r="A6075" t="str">
        <f>T("   640220")</f>
        <v xml:space="preserve">   640220</v>
      </c>
      <c r="B6075" t="str">
        <f>T("   Chaussures à semelles extérieures et dessus en caoutchouc ou en matière plastique, à dessus en lanières ou brides fixées à la semelle par des tétons (sauf chaussures ayant le caractère de jouets)")</f>
        <v xml:space="preserve">   Chaussures à semelles extérieures et dessus en caoutchouc ou en matière plastique, à dessus en lanières ou brides fixées à la semelle par des tétons (sauf chaussures ayant le caractère de jouets)</v>
      </c>
      <c r="C6075">
        <v>11400000</v>
      </c>
      <c r="D6075">
        <v>145229</v>
      </c>
    </row>
    <row r="6076" spans="1:4" x14ac:dyDescent="0.25">
      <c r="A6076" t="str">
        <f>T("   640299")</f>
        <v xml:space="preserve">   640299</v>
      </c>
      <c r="B6076" t="s">
        <v>285</v>
      </c>
      <c r="C6076">
        <v>29305637</v>
      </c>
      <c r="D6076">
        <v>183016</v>
      </c>
    </row>
    <row r="6077" spans="1:4" x14ac:dyDescent="0.25">
      <c r="A6077" t="str">
        <f>T("   640319")</f>
        <v xml:space="preserve">   640319</v>
      </c>
      <c r="B6077" t="s">
        <v>286</v>
      </c>
      <c r="C6077">
        <v>250000</v>
      </c>
      <c r="D6077">
        <v>1270</v>
      </c>
    </row>
    <row r="6078" spans="1:4" x14ac:dyDescent="0.25">
      <c r="A6078" t="str">
        <f>T("   640419")</f>
        <v xml:space="preserve">   640419</v>
      </c>
      <c r="B6078" t="s">
        <v>289</v>
      </c>
      <c r="C6078">
        <v>4800000</v>
      </c>
      <c r="D6078">
        <v>26016</v>
      </c>
    </row>
    <row r="6079" spans="1:4" x14ac:dyDescent="0.25">
      <c r="A6079" t="str">
        <f>T("   640590")</f>
        <v xml:space="preserve">   640590</v>
      </c>
      <c r="B6079" t="s">
        <v>290</v>
      </c>
      <c r="C6079">
        <v>4300000</v>
      </c>
      <c r="D6079">
        <v>31174</v>
      </c>
    </row>
    <row r="6080" spans="1:4" x14ac:dyDescent="0.25">
      <c r="A6080" t="str">
        <f>T("   690890")</f>
        <v xml:space="preserve">   690890</v>
      </c>
      <c r="B6080" t="s">
        <v>311</v>
      </c>
      <c r="C6080">
        <v>820312</v>
      </c>
      <c r="D6080">
        <v>2450</v>
      </c>
    </row>
    <row r="6081" spans="1:4" x14ac:dyDescent="0.25">
      <c r="A6081" t="str">
        <f>T("   691090")</f>
        <v xml:space="preserve">   691090</v>
      </c>
      <c r="B6081" t="s">
        <v>313</v>
      </c>
      <c r="C6081">
        <v>1224485</v>
      </c>
      <c r="D6081">
        <v>1200</v>
      </c>
    </row>
    <row r="6082" spans="1:4" x14ac:dyDescent="0.25">
      <c r="A6082" t="str">
        <f>T("   691200")</f>
        <v xml:space="preserve">   691200</v>
      </c>
      <c r="B6082" t="s">
        <v>316</v>
      </c>
      <c r="C6082">
        <v>8499904</v>
      </c>
      <c r="D6082">
        <v>26540.7</v>
      </c>
    </row>
    <row r="6083" spans="1:4" x14ac:dyDescent="0.25">
      <c r="A6083" t="str">
        <f>T("   700490")</f>
        <v xml:space="preserve">   700490</v>
      </c>
      <c r="B6083" t="str">
        <f>T("   FEUILLES EN VERRE ÉTIRÉ OU SOUFFLÉ MAIS NON AUTREMENT TRAVAILLÉ (AUTRES QU'EN VERRE COLORÉ DANS LA MASSE, OPACIFIÉ, PLAQUÉ [DOUBLÉ], OU À COUCHE ABSORBANTE, RÉFLÉCHISSANTE OU NON-RÉFLÉCHISSANTE)")</f>
        <v xml:space="preserve">   FEUILLES EN VERRE ÉTIRÉ OU SOUFFLÉ MAIS NON AUTREMENT TRAVAILLÉ (AUTRES QU'EN VERRE COLORÉ DANS LA MASSE, OPACIFIÉ, PLAQUÉ [DOUBLÉ], OU À COUCHE ABSORBANTE, RÉFLÉCHISSANTE OU NON-RÉFLÉCHISSANTE)</v>
      </c>
      <c r="C6083">
        <v>1815000</v>
      </c>
      <c r="D6083">
        <v>25774</v>
      </c>
    </row>
    <row r="6084" spans="1:4" x14ac:dyDescent="0.25">
      <c r="A6084" t="str">
        <f>T("   700529")</f>
        <v xml:space="preserve">   700529</v>
      </c>
      <c r="B6084" t="s">
        <v>318</v>
      </c>
      <c r="C6084">
        <v>2900000</v>
      </c>
      <c r="D6084">
        <v>17650</v>
      </c>
    </row>
    <row r="6085" spans="1:4" x14ac:dyDescent="0.25">
      <c r="A6085" t="str">
        <f>T("   700910")</f>
        <v xml:space="preserve">   700910</v>
      </c>
      <c r="B6085" t="str">
        <f>T("   Miroirs rétroviseurs en verre, même encadrés, pour véhicules")</f>
        <v xml:space="preserve">   Miroirs rétroviseurs en verre, même encadrés, pour véhicules</v>
      </c>
      <c r="C6085">
        <v>574536</v>
      </c>
      <c r="D6085">
        <v>8400</v>
      </c>
    </row>
    <row r="6086" spans="1:4" x14ac:dyDescent="0.25">
      <c r="A6086" t="str">
        <f>T("   701090")</f>
        <v xml:space="preserve">   701090</v>
      </c>
      <c r="B6086" t="s">
        <v>323</v>
      </c>
      <c r="C6086">
        <v>164727</v>
      </c>
      <c r="D6086">
        <v>500</v>
      </c>
    </row>
    <row r="6087" spans="1:4" x14ac:dyDescent="0.25">
      <c r="A6087" t="str">
        <f>T("   701110")</f>
        <v xml:space="preserve">   701110</v>
      </c>
      <c r="B6087" t="str">
        <f>T("   Ampoules en verre, ouvertes, et enveloppes tubulaires en verre, ouvertes, et leurs parties en verre, sans garnitures, pour l'éclairage électrique")</f>
        <v xml:space="preserve">   Ampoules en verre, ouvertes, et enveloppes tubulaires en verre, ouvertes, et leurs parties en verre, sans garnitures, pour l'éclairage électrique</v>
      </c>
      <c r="C6087">
        <v>6700000</v>
      </c>
      <c r="D6087">
        <v>11500</v>
      </c>
    </row>
    <row r="6088" spans="1:4" x14ac:dyDescent="0.25">
      <c r="A6088" t="str">
        <f>T("   701329")</f>
        <v xml:space="preserve">   701329</v>
      </c>
      <c r="B6088" t="str">
        <f>T("   Verres à boire (autres qu'en vitrocérame, autres qu'en cristal au plomb)")</f>
        <v xml:space="preserve">   Verres à boire (autres qu'en vitrocérame, autres qu'en cristal au plomb)</v>
      </c>
      <c r="C6088">
        <v>5511656</v>
      </c>
      <c r="D6088">
        <v>7896.64</v>
      </c>
    </row>
    <row r="6089" spans="1:4" x14ac:dyDescent="0.25">
      <c r="A6089" t="str">
        <f>T("   701399")</f>
        <v xml:space="preserve">   701399</v>
      </c>
      <c r="B6089" t="s">
        <v>328</v>
      </c>
      <c r="C6089">
        <v>886565</v>
      </c>
      <c r="D6089">
        <v>951.48</v>
      </c>
    </row>
    <row r="6090" spans="1:4" x14ac:dyDescent="0.25">
      <c r="A6090" t="str">
        <f>T("   720854")</f>
        <v xml:space="preserve">   720854</v>
      </c>
      <c r="B6090" t="str">
        <f>T("   PRODUITS LAMINÉS PLATS, EN FER OU EN ACIER NON ALLIÉS, D'UNE LARGEUR &gt;= 600 MM, NON ENROULÉS, SIMPLEMENT LAMINÉS À CHAUD, NON PLAQUÉS NI REVÊTUS, ÉPAISSEUR &lt; 3 MM (SANS MOTIFS EN RELIEF)")</f>
        <v xml:space="preserve">   PRODUITS LAMINÉS PLATS, EN FER OU EN ACIER NON ALLIÉS, D'UNE LARGEUR &gt;= 600 MM, NON ENROULÉS, SIMPLEMENT LAMINÉS À CHAUD, NON PLAQUÉS NI REVÊTUS, ÉPAISSEUR &lt; 3 MM (SANS MOTIFS EN RELIEF)</v>
      </c>
      <c r="C6090">
        <v>31015911</v>
      </c>
      <c r="D6090">
        <v>115268</v>
      </c>
    </row>
    <row r="6091" spans="1:4" x14ac:dyDescent="0.25">
      <c r="A6091" t="str">
        <f>T("   720927")</f>
        <v xml:space="preserve">   720927</v>
      </c>
      <c r="B6091" t="str">
        <f>T("   PRODUITS LAMINÉS PLATS, EN FER OU EN ACIERS NON-ALLIÉS, D'UNE LARGEUR &gt;= 600 MM, NON-PLAQUÉS NI REVÊTUS, NON-ENROULÉS, SIMPL. LAMINÉS À FROID, D'UNE ÉPAISSEUR &gt;= 0,5 MM MAIS &lt;= 1 MM")</f>
        <v xml:space="preserve">   PRODUITS LAMINÉS PLATS, EN FER OU EN ACIERS NON-ALLIÉS, D'UNE LARGEUR &gt;= 600 MM, NON-PLAQUÉS NI REVÊTUS, NON-ENROULÉS, SIMPL. LAMINÉS À FROID, D'UNE ÉPAISSEUR &gt;= 0,5 MM MAIS &lt;= 1 MM</v>
      </c>
      <c r="C6091">
        <v>88693317</v>
      </c>
      <c r="D6091">
        <v>365811</v>
      </c>
    </row>
    <row r="6092" spans="1:4" x14ac:dyDescent="0.25">
      <c r="A6092" t="str">
        <f>T("   720990")</f>
        <v xml:space="preserve">   720990</v>
      </c>
      <c r="B6092" t="str">
        <f>T("   PRODUITS LAMINÉS PLATS, EN FER OU EN ACIER, D'UNE LARGEUR &gt;= 600 MM, LAMINÉS À FROID ET AYANT SUBI CERTAINES OUVRAISONS PLUS POUSSÉES, MAIS NON-PLAQUÉS NI REVÊTUS")</f>
        <v xml:space="preserve">   PRODUITS LAMINÉS PLATS, EN FER OU EN ACIER, D'UNE LARGEUR &gt;= 600 MM, LAMINÉS À FROID ET AYANT SUBI CERTAINES OUVRAISONS PLUS POUSSÉES, MAIS NON-PLAQUÉS NI REVÊTUS</v>
      </c>
      <c r="C6092">
        <v>12800000</v>
      </c>
      <c r="D6092">
        <v>50000</v>
      </c>
    </row>
    <row r="6093" spans="1:4" x14ac:dyDescent="0.25">
      <c r="A6093" t="str">
        <f>T("   721041")</f>
        <v xml:space="preserve">   721041</v>
      </c>
      <c r="B6093" t="str">
        <f>T("   Produits laminés plats, en fer ou en aciers non alliés, d'une largeur &gt;= 600 mm, laminés à chaud ou à froid, zingués, ondulés (à l'excl. des produits zingués électrolytiquement)")</f>
        <v xml:space="preserve">   Produits laminés plats, en fer ou en aciers non alliés, d'une largeur &gt;= 600 mm, laminés à chaud ou à froid, zingués, ondulés (à l'excl. des produits zingués électrolytiquement)</v>
      </c>
      <c r="C6093">
        <v>91756329</v>
      </c>
      <c r="D6093">
        <v>220000</v>
      </c>
    </row>
    <row r="6094" spans="1:4" x14ac:dyDescent="0.25">
      <c r="A6094" t="str">
        <f>T("   721190")</f>
        <v xml:space="preserve">   721190</v>
      </c>
      <c r="B6094" t="str">
        <f>T("   PRODUITS LAMINÉS PLATS, EN FER OU EN ACIERS NON-ALLIÉS, D'UNE LARGEUR &lt; 600 MM, LAMINÉS À CHAUD OU À FROID ET AYANT SUBI CERTAINES OUVRAISONS PLUS POUSSÉES, MAIS NON-PLAQUÉS NI REVÊTUS")</f>
        <v xml:space="preserve">   PRODUITS LAMINÉS PLATS, EN FER OU EN ACIERS NON-ALLIÉS, D'UNE LARGEUR &lt; 600 MM, LAMINÉS À CHAUD OU À FROID ET AYANT SUBI CERTAINES OUVRAISONS PLUS POUSSÉES, MAIS NON-PLAQUÉS NI REVÊTUS</v>
      </c>
      <c r="C6094">
        <v>317523478</v>
      </c>
      <c r="D6094">
        <v>1198840</v>
      </c>
    </row>
    <row r="6095" spans="1:4" x14ac:dyDescent="0.25">
      <c r="A6095" t="str">
        <f>T("   721320")</f>
        <v xml:space="preserve">   721320</v>
      </c>
      <c r="B6095" t="str">
        <f>T("   FIL MACHINE EN ACIERS DE DÉCOLLETAGE NON ALLIÉS, ENROULÉ EN COURONNES IRRÉGULIÈRES (À L'EXCL. DU FIL COMPORTANT DES INDENTATIONS, BOURRELETS, CREUX OU RELIEFS OBTENUS AU COURS DU LAMINAGE)")</f>
        <v xml:space="preserve">   FIL MACHINE EN ACIERS DE DÉCOLLETAGE NON ALLIÉS, ENROULÉ EN COURONNES IRRÉGULIÈRES (À L'EXCL. DU FIL COMPORTANT DES INDENTATIONS, BOURRELETS, CREUX OU RELIEFS OBTENUS AU COURS DU LAMINAGE)</v>
      </c>
      <c r="C6095">
        <v>15995798</v>
      </c>
      <c r="D6095">
        <v>55000</v>
      </c>
    </row>
    <row r="6096" spans="1:4" x14ac:dyDescent="0.25">
      <c r="A6096" t="str">
        <f>T("   721420")</f>
        <v xml:space="preserve">   721420</v>
      </c>
      <c r="B6096" t="str">
        <f>T("   BARRES EN FER OU EN ACIERS NON ALLIÉS, COMPORTANT DES INDENTATIONS, BOURRELETS, CREUX OU RELIEFS OBTENUS AU COURS DU LAMINAGE OU AYANT SUBI UNE TORSION APRÈS LAMINAGE")</f>
        <v xml:space="preserve">   BARRES EN FER OU EN ACIERS NON ALLIÉS, COMPORTANT DES INDENTATIONS, BOURRELETS, CREUX OU RELIEFS OBTENUS AU COURS DU LAMINAGE OU AYANT SUBI UNE TORSION APRÈS LAMINAGE</v>
      </c>
      <c r="C6096">
        <v>337428925</v>
      </c>
      <c r="D6096">
        <v>1303690</v>
      </c>
    </row>
    <row r="6097" spans="1:4" x14ac:dyDescent="0.25">
      <c r="A6097" t="str">
        <f>T("   721491")</f>
        <v xml:space="preserve">   721491</v>
      </c>
      <c r="B6097" t="s">
        <v>340</v>
      </c>
      <c r="C6097">
        <v>45382968</v>
      </c>
      <c r="D6097">
        <v>150000</v>
      </c>
    </row>
    <row r="6098" spans="1:4" x14ac:dyDescent="0.25">
      <c r="A6098" t="str">
        <f>T("   721499")</f>
        <v xml:space="preserve">   721499</v>
      </c>
      <c r="B6098" t="s">
        <v>341</v>
      </c>
      <c r="C6098">
        <v>124607030</v>
      </c>
      <c r="D6098">
        <v>483000</v>
      </c>
    </row>
    <row r="6099" spans="1:4" x14ac:dyDescent="0.25">
      <c r="A6099" t="str">
        <f>T("   721590")</f>
        <v xml:space="preserve">   721590</v>
      </c>
      <c r="B6099" t="str">
        <f>T("   Barres en fer ou en aciers non alliés, obtenues ou parachevées à froid et ayant subi certaines ouvraisons plus poussées ou obtenues à chaud et ayant subi certaines ouvraisons plus poussées, n.d.a.")</f>
        <v xml:space="preserve">   Barres en fer ou en aciers non alliés, obtenues ou parachevées à froid et ayant subi certaines ouvraisons plus poussées ou obtenues à chaud et ayant subi certaines ouvraisons plus poussées, n.d.a.</v>
      </c>
      <c r="C6099">
        <v>57531876</v>
      </c>
      <c r="D6099">
        <v>210000</v>
      </c>
    </row>
    <row r="6100" spans="1:4" x14ac:dyDescent="0.25">
      <c r="A6100" t="str">
        <f>T("   721661")</f>
        <v xml:space="preserve">   721661</v>
      </c>
      <c r="B6100" t="str">
        <f>T("   PROFILÉS EN FER OU ACIERS NON-ALLIÉS, SIMPL. OBTENUS À FROID À PARTIR DE PRODUITS LAMINÉS PLATS (À L'EXCL. DES TÔLES NERVURÉES)")</f>
        <v xml:space="preserve">   PROFILÉS EN FER OU ACIERS NON-ALLIÉS, SIMPL. OBTENUS À FROID À PARTIR DE PRODUITS LAMINÉS PLATS (À L'EXCL. DES TÔLES NERVURÉES)</v>
      </c>
      <c r="C6100">
        <v>11207682</v>
      </c>
      <c r="D6100">
        <v>45710</v>
      </c>
    </row>
    <row r="6101" spans="1:4" x14ac:dyDescent="0.25">
      <c r="A6101" t="str">
        <f>T("   730660")</f>
        <v xml:space="preserve">   730660</v>
      </c>
      <c r="B6101" t="s">
        <v>348</v>
      </c>
      <c r="C6101">
        <v>98941736</v>
      </c>
      <c r="D6101">
        <v>367880</v>
      </c>
    </row>
    <row r="6102" spans="1:4" x14ac:dyDescent="0.25">
      <c r="A6102" t="str">
        <f>T("   730690")</f>
        <v xml:space="preserve">   730690</v>
      </c>
      <c r="B6102" t="str">
        <f>T("   Tubes, tuyaux et profilés creux [p.ex. rivés, agrafés ou à bords simplement rapprochés], en fer ou en acier (sauf tubes sans soudure ou soudés et tubes de sections intérieure et extérieure circulaires et d'un diamètre extérieur &gt; 406,4 mm)")</f>
        <v xml:space="preserve">   Tubes, tuyaux et profilés creux [p.ex. rivés, agrafés ou à bords simplement rapprochés], en fer ou en acier (sauf tubes sans soudure ou soudés et tubes de sections intérieure et extérieure circulaires et d'un diamètre extérieur &gt; 406,4 mm)</v>
      </c>
      <c r="C6102">
        <v>137581013</v>
      </c>
      <c r="D6102">
        <v>539000</v>
      </c>
    </row>
    <row r="6103" spans="1:4" x14ac:dyDescent="0.25">
      <c r="A6103" t="str">
        <f>T("   730711")</f>
        <v xml:space="preserve">   730711</v>
      </c>
      <c r="B6103" t="str">
        <f>T("   ACCESSOIRES DE TUYAUTERIE MOULÉS EN FONTE NON-MALLÉABLE")</f>
        <v xml:space="preserve">   ACCESSOIRES DE TUYAUTERIE MOULÉS EN FONTE NON-MALLÉABLE</v>
      </c>
      <c r="C6103">
        <v>15872000</v>
      </c>
      <c r="D6103">
        <v>62000</v>
      </c>
    </row>
    <row r="6104" spans="1:4" x14ac:dyDescent="0.25">
      <c r="A6104" t="str">
        <f>T("   731210")</f>
        <v xml:space="preserve">   731210</v>
      </c>
      <c r="B6104" t="str">
        <f>T("   Torons et câbles en fer ou en acier (sauf produits isolés pour l'électricité et sauf fil barbelé pour clôtures et ronces artificielles)")</f>
        <v xml:space="preserve">   Torons et câbles en fer ou en acier (sauf produits isolés pour l'électricité et sauf fil barbelé pour clôtures et ronces artificielles)</v>
      </c>
      <c r="C6104">
        <v>32958</v>
      </c>
      <c r="D6104">
        <v>450</v>
      </c>
    </row>
    <row r="6105" spans="1:4" x14ac:dyDescent="0.25">
      <c r="A6105" t="str">
        <f>T("   731449")</f>
        <v xml:space="preserve">   731449</v>
      </c>
      <c r="B6105" t="str">
        <f>T("   Toiles métalliques nontissées, grillages et treillis, en fils de fer ou d'acier, non soudés aux points de rencontre (sauf zingués ou recouverts de matières plastiques)")</f>
        <v xml:space="preserve">   Toiles métalliques nontissées, grillages et treillis, en fils de fer ou d'acier, non soudés aux points de rencontre (sauf zingués ou recouverts de matières plastiques)</v>
      </c>
      <c r="C6105">
        <v>1250000</v>
      </c>
      <c r="D6105">
        <v>7180</v>
      </c>
    </row>
    <row r="6106" spans="1:4" x14ac:dyDescent="0.25">
      <c r="A6106" t="str">
        <f>T("   731450")</f>
        <v xml:space="preserve">   731450</v>
      </c>
      <c r="B6106" t="str">
        <f>T("   Tôles et bandes déployées en fer ou en acier")</f>
        <v xml:space="preserve">   Tôles et bandes déployées en fer ou en acier</v>
      </c>
      <c r="C6106">
        <v>252499695</v>
      </c>
      <c r="D6106">
        <v>941085</v>
      </c>
    </row>
    <row r="6107" spans="1:4" x14ac:dyDescent="0.25">
      <c r="A6107" t="str">
        <f>T("   731511")</f>
        <v xml:space="preserve">   731511</v>
      </c>
      <c r="B6107" t="str">
        <f>T("   Chaînes à rouleaux en fonte, fer ou acier")</f>
        <v xml:space="preserve">   Chaînes à rouleaux en fonte, fer ou acier</v>
      </c>
      <c r="C6107">
        <v>1269725</v>
      </c>
      <c r="D6107">
        <v>9200</v>
      </c>
    </row>
    <row r="6108" spans="1:4" x14ac:dyDescent="0.25">
      <c r="A6108" t="str">
        <f>T("   731700")</f>
        <v xml:space="preserve">   731700</v>
      </c>
      <c r="B6108" t="str">
        <f>T("   Pointes, clous, punaises, crampons appointés, agrafes ondulées ou biseautées et articles simil., en fonte, fer ou acier, même avec tête en autre matière (à l'excl. de ceux avec tête en cuivre et à l'excl. des agrafes en barrettes)")</f>
        <v xml:space="preserve">   Pointes, clous, punaises, crampons appointés, agrafes ondulées ou biseautées et articles simil., en fonte, fer ou acier, même avec tête en autre matière (à l'excl. de ceux avec tête en cuivre et à l'excl. des agrafes en barrettes)</v>
      </c>
      <c r="C6108">
        <v>4700000</v>
      </c>
      <c r="D6108">
        <v>27242</v>
      </c>
    </row>
    <row r="6109" spans="1:4" x14ac:dyDescent="0.25">
      <c r="A6109" t="str">
        <f>T("   731815")</f>
        <v xml:space="preserve">   731815</v>
      </c>
      <c r="B6109" t="s">
        <v>354</v>
      </c>
      <c r="C6109">
        <v>7254919</v>
      </c>
      <c r="D6109">
        <v>2690</v>
      </c>
    </row>
    <row r="6110" spans="1:4" x14ac:dyDescent="0.25">
      <c r="A6110" t="str">
        <f>T("   732010")</f>
        <v xml:space="preserve">   732010</v>
      </c>
      <c r="B6110" t="str">
        <f>T("   RESSORTS À LAMES ET LEURS LAMES, EN FER OU EN ACIER (À L'EXCL. DES RESSORTS DE MONTRES ET DES RESSORTS À BARRE DE TORSION DE LA SECTION 17)")</f>
        <v xml:space="preserve">   RESSORTS À LAMES ET LEURS LAMES, EN FER OU EN ACIER (À L'EXCL. DES RESSORTS DE MONTRES ET DES RESSORTS À BARRE DE TORSION DE LA SECTION 17)</v>
      </c>
      <c r="C6110">
        <v>4517553</v>
      </c>
      <c r="D6110">
        <v>10360</v>
      </c>
    </row>
    <row r="6111" spans="1:4" x14ac:dyDescent="0.25">
      <c r="A6111" t="str">
        <f>T("   732310")</f>
        <v xml:space="preserve">   732310</v>
      </c>
      <c r="B6111" t="str">
        <f>T("   Paille de fer ou d'acier; éponges, torchons, gants et articles simil. pour le récurage, le polissage ou usages analogues, en fer ou acier")</f>
        <v xml:space="preserve">   Paille de fer ou d'acier; éponges, torchons, gants et articles simil. pour le récurage, le polissage ou usages analogues, en fer ou acier</v>
      </c>
      <c r="C6111">
        <v>300000</v>
      </c>
      <c r="D6111">
        <v>850</v>
      </c>
    </row>
    <row r="6112" spans="1:4" x14ac:dyDescent="0.25">
      <c r="A6112" t="str">
        <f>T("   732392")</f>
        <v xml:space="preserve">   732392</v>
      </c>
      <c r="B6112" t="s">
        <v>359</v>
      </c>
      <c r="C6112">
        <v>19118460</v>
      </c>
      <c r="D6112">
        <v>85077</v>
      </c>
    </row>
    <row r="6113" spans="1:4" x14ac:dyDescent="0.25">
      <c r="A6113" t="str">
        <f>T("   732393")</f>
        <v xml:space="preserve">   732393</v>
      </c>
      <c r="B6113" t="s">
        <v>360</v>
      </c>
      <c r="C6113">
        <v>133362</v>
      </c>
      <c r="D6113">
        <v>1460</v>
      </c>
    </row>
    <row r="6114" spans="1:4" x14ac:dyDescent="0.25">
      <c r="A6114" t="str">
        <f>T("   732490")</f>
        <v xml:space="preserve">   732490</v>
      </c>
      <c r="B6114" t="s">
        <v>363</v>
      </c>
      <c r="C6114">
        <v>1300000</v>
      </c>
      <c r="D6114">
        <v>5800</v>
      </c>
    </row>
    <row r="6115" spans="1:4" x14ac:dyDescent="0.25">
      <c r="A6115" t="str">
        <f>T("   760429")</f>
        <v xml:space="preserve">   760429</v>
      </c>
      <c r="B6115" t="str">
        <f>T("   Barres et profilés pleins en alliages d'aluminium, n.d.a.")</f>
        <v xml:space="preserve">   Barres et profilés pleins en alliages d'aluminium, n.d.a.</v>
      </c>
      <c r="C6115">
        <v>19375500</v>
      </c>
      <c r="D6115">
        <v>72897</v>
      </c>
    </row>
    <row r="6116" spans="1:4" x14ac:dyDescent="0.25">
      <c r="A6116" t="str">
        <f>T("   760820")</f>
        <v xml:space="preserve">   760820</v>
      </c>
      <c r="B6116" t="str">
        <f>T("   Tubes et tuyaux en alliages d'aluminium (sauf profilés creux)")</f>
        <v xml:space="preserve">   Tubes et tuyaux en alliages d'aluminium (sauf profilés creux)</v>
      </c>
      <c r="C6116">
        <v>1649101</v>
      </c>
      <c r="D6116">
        <v>27100</v>
      </c>
    </row>
    <row r="6117" spans="1:4" x14ac:dyDescent="0.25">
      <c r="A6117" t="str">
        <f>T("   761010")</f>
        <v xml:space="preserve">   761010</v>
      </c>
      <c r="B6117" t="str">
        <f>T("   Portes, fenêtres et leurs cadres, chambranles et seuils, en aluminium (sauf pièces de garnissage)")</f>
        <v xml:space="preserve">   Portes, fenêtres et leurs cadres, chambranles et seuils, en aluminium (sauf pièces de garnissage)</v>
      </c>
      <c r="C6117">
        <v>1092300</v>
      </c>
      <c r="D6117">
        <v>500</v>
      </c>
    </row>
    <row r="6118" spans="1:4" x14ac:dyDescent="0.25">
      <c r="A6118" t="str">
        <f>T("   761090")</f>
        <v xml:space="preserve">   761090</v>
      </c>
      <c r="B6118" t="str">
        <f>T("   Constructions et parties de constructions, en aluminium, n.d.a., ainsi que tôles, barres, profilés, tubes, tuyaux et simil., en aluminium, n.d.a; (sauf constructions préfabriquées du n° 9406, portes, fenêtres et leurs cadres, chambranles et seuils)")</f>
        <v xml:space="preserve">   Constructions et parties de constructions, en aluminium, n.d.a., ainsi que tôles, barres, profilés, tubes, tuyaux et simil., en aluminium, n.d.a; (sauf constructions préfabriquées du n° 9406, portes, fenêtres et leurs cadres, chambranles et seuils)</v>
      </c>
      <c r="C6118">
        <v>600000</v>
      </c>
      <c r="D6118">
        <v>3500</v>
      </c>
    </row>
    <row r="6119" spans="1:4" x14ac:dyDescent="0.25">
      <c r="A6119" t="str">
        <f>T("   761519")</f>
        <v xml:space="preserve">   761519</v>
      </c>
      <c r="B6119" t="s">
        <v>367</v>
      </c>
      <c r="C6119">
        <v>149627448</v>
      </c>
      <c r="D6119">
        <v>470391</v>
      </c>
    </row>
    <row r="6120" spans="1:4" x14ac:dyDescent="0.25">
      <c r="A6120" t="str">
        <f>T("   820190")</f>
        <v xml:space="preserve">   820190</v>
      </c>
      <c r="B6120" t="s">
        <v>369</v>
      </c>
      <c r="C6120">
        <v>1700000</v>
      </c>
      <c r="D6120">
        <v>14175</v>
      </c>
    </row>
    <row r="6121" spans="1:4" x14ac:dyDescent="0.25">
      <c r="A6121" t="str">
        <f>T("   821210")</f>
        <v xml:space="preserve">   821210</v>
      </c>
      <c r="B6121" t="str">
        <f>T("   Rasoirs et rasoirs de sûreté non-électriques, en métaux communs")</f>
        <v xml:space="preserve">   Rasoirs et rasoirs de sûreté non-électriques, en métaux communs</v>
      </c>
      <c r="C6121">
        <v>50000</v>
      </c>
      <c r="D6121">
        <v>800</v>
      </c>
    </row>
    <row r="6122" spans="1:4" x14ac:dyDescent="0.25">
      <c r="A6122" t="str">
        <f>T("   830140")</f>
        <v xml:space="preserve">   830140</v>
      </c>
      <c r="B6122" t="str">
        <f>T("   Serrures et verrous, en métaux communs (autres que cadenas et serrures des types utilisés pour véhicules automobiles ou meubles)")</f>
        <v xml:space="preserve">   Serrures et verrous, en métaux communs (autres que cadenas et serrures des types utilisés pour véhicules automobiles ou meubles)</v>
      </c>
      <c r="C6122">
        <v>3000000</v>
      </c>
      <c r="D6122">
        <v>16000</v>
      </c>
    </row>
    <row r="6123" spans="1:4" x14ac:dyDescent="0.25">
      <c r="A6123" t="str">
        <f>T("   831110")</f>
        <v xml:space="preserve">   831110</v>
      </c>
      <c r="B6123" t="str">
        <f>T("   ÉLECTRODES ENROBÉES EN MÉTAUX COMMUNS, POUR LE SOUDAGE À L'ARC")</f>
        <v xml:space="preserve">   ÉLECTRODES ENROBÉES EN MÉTAUX COMMUNS, POUR LE SOUDAGE À L'ARC</v>
      </c>
      <c r="C6123">
        <v>8331134</v>
      </c>
      <c r="D6123">
        <v>27550</v>
      </c>
    </row>
    <row r="6124" spans="1:4" x14ac:dyDescent="0.25">
      <c r="A6124" t="str">
        <f>T("   841451")</f>
        <v xml:space="preserve">   841451</v>
      </c>
      <c r="B6124" t="str">
        <f>T("   Ventilateurs de table, de sol, muraux, plafonniers, de toitures ou de fenêtres, à moteur électrique incorporé, d'une puissance &lt;= 125 W")</f>
        <v xml:space="preserve">   Ventilateurs de table, de sol, muraux, plafonniers, de toitures ou de fenêtres, à moteur électrique incorporé, d'une puissance &lt;= 125 W</v>
      </c>
      <c r="C6124">
        <v>1570881</v>
      </c>
      <c r="D6124">
        <v>876</v>
      </c>
    </row>
    <row r="6125" spans="1:4" x14ac:dyDescent="0.25">
      <c r="A6125" t="str">
        <f>T("   841459")</f>
        <v xml:space="preserve">   841459</v>
      </c>
      <c r="B6125" t="str">
        <f>T("   Ventilateurs (sauf ventilateurs de table, de sol, muraux, plafonniers, de toitures ou de fenêtres, à moteur électrique incorporé, d'une puissance &lt;= 125 W)")</f>
        <v xml:space="preserve">   Ventilateurs (sauf ventilateurs de table, de sol, muraux, plafonniers, de toitures ou de fenêtres, à moteur électrique incorporé, d'une puissance &lt;= 125 W)</v>
      </c>
      <c r="C6125">
        <v>6445177</v>
      </c>
      <c r="D6125">
        <v>6639</v>
      </c>
    </row>
    <row r="6126" spans="1:4" x14ac:dyDescent="0.25">
      <c r="A6126" t="str">
        <f>T("   841510")</f>
        <v xml:space="preserve">   841510</v>
      </c>
      <c r="B6126" t="s">
        <v>395</v>
      </c>
      <c r="C6126">
        <v>2545125</v>
      </c>
      <c r="D6126">
        <v>150</v>
      </c>
    </row>
    <row r="6127" spans="1:4" x14ac:dyDescent="0.25">
      <c r="A6127" t="str">
        <f>T("   841829")</f>
        <v xml:space="preserve">   841829</v>
      </c>
      <c r="B6127" t="str">
        <f>T("   Réfrigérateurs ménagers à absorption, non-électriques")</f>
        <v xml:space="preserve">   Réfrigérateurs ménagers à absorption, non-électriques</v>
      </c>
      <c r="C6127">
        <v>304081</v>
      </c>
      <c r="D6127">
        <v>450</v>
      </c>
    </row>
    <row r="6128" spans="1:4" x14ac:dyDescent="0.25">
      <c r="A6128" t="str">
        <f>T("   841840")</f>
        <v xml:space="preserve">   841840</v>
      </c>
      <c r="B6128" t="str">
        <f>T("   Meubles congélateurs-conservateurs du type armoire, capacité &lt;= 900 l")</f>
        <v xml:space="preserve">   Meubles congélateurs-conservateurs du type armoire, capacité &lt;= 900 l</v>
      </c>
      <c r="C6128">
        <v>1462018</v>
      </c>
      <c r="D6128">
        <v>1782</v>
      </c>
    </row>
    <row r="6129" spans="1:4" x14ac:dyDescent="0.25">
      <c r="A6129" t="str">
        <f>T("   842129")</f>
        <v xml:space="preserve">   842129</v>
      </c>
      <c r="B6129" t="str">
        <f>T("   Appareils pour la filtration ou l'épuration des liquides (à l'excl. de l'eau ou des boissons, des huiles minérales et carburants pour les moteurs à allumage par étincelles ou par compression ainsi que les reins artificiels)")</f>
        <v xml:space="preserve">   Appareils pour la filtration ou l'épuration des liquides (à l'excl. de l'eau ou des boissons, des huiles minérales et carburants pour les moteurs à allumage par étincelles ou par compression ainsi que les reins artificiels)</v>
      </c>
      <c r="C6129">
        <v>596799</v>
      </c>
      <c r="D6129">
        <v>88.6</v>
      </c>
    </row>
    <row r="6130" spans="1:4" x14ac:dyDescent="0.25">
      <c r="A6130" t="str">
        <f>T("   843149")</f>
        <v xml:space="preserve">   843149</v>
      </c>
      <c r="B6130" t="str">
        <f>T("   Parties de machines et appareils du n° 8426, 8429 ou 8430, n.d.a.")</f>
        <v xml:space="preserve">   Parties de machines et appareils du n° 8426, 8429 ou 8430, n.d.a.</v>
      </c>
      <c r="C6130">
        <v>130985530</v>
      </c>
      <c r="D6130">
        <v>8073</v>
      </c>
    </row>
    <row r="6131" spans="1:4" x14ac:dyDescent="0.25">
      <c r="A6131" t="str">
        <f>T("   843780")</f>
        <v xml:space="preserve">   843780</v>
      </c>
      <c r="B6131" t="s">
        <v>412</v>
      </c>
      <c r="C6131">
        <v>400000</v>
      </c>
      <c r="D6131">
        <v>265</v>
      </c>
    </row>
    <row r="6132" spans="1:4" x14ac:dyDescent="0.25">
      <c r="A6132" t="str">
        <f>T("   843880")</f>
        <v xml:space="preserve">   843880</v>
      </c>
      <c r="B6132" t="str">
        <f>T("   Machines et appareils pour la préparation ou la fabrication industrielles d'aliments ou de boissons, n.d.a.")</f>
        <v xml:space="preserve">   Machines et appareils pour la préparation ou la fabrication industrielles d'aliments ou de boissons, n.d.a.</v>
      </c>
      <c r="C6132">
        <v>21570750</v>
      </c>
      <c r="D6132">
        <v>62000</v>
      </c>
    </row>
    <row r="6133" spans="1:4" x14ac:dyDescent="0.25">
      <c r="A6133" t="str">
        <f>T("   844359")</f>
        <v xml:space="preserve">   844359</v>
      </c>
      <c r="B6133" t="s">
        <v>418</v>
      </c>
      <c r="C6133">
        <v>15386773</v>
      </c>
      <c r="D6133">
        <v>237</v>
      </c>
    </row>
    <row r="6134" spans="1:4" x14ac:dyDescent="0.25">
      <c r="A6134" t="str">
        <f>T("   847190")</f>
        <v xml:space="preserve">   847190</v>
      </c>
      <c r="B6134"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6134">
        <v>28738911</v>
      </c>
      <c r="D6134">
        <v>316</v>
      </c>
    </row>
    <row r="6135" spans="1:4" x14ac:dyDescent="0.25">
      <c r="A6135" t="str">
        <f>T("   847490")</f>
        <v xml:space="preserve">   847490</v>
      </c>
      <c r="B6135" t="str">
        <f>T("   Parties des machines et appareils pour le travail des matières minérales du n° 8474, n.d.a.")</f>
        <v xml:space="preserve">   Parties des machines et appareils pour le travail des matières minérales du n° 8474, n.d.a.</v>
      </c>
      <c r="C6135">
        <v>88236597</v>
      </c>
      <c r="D6135">
        <v>21196</v>
      </c>
    </row>
    <row r="6136" spans="1:4" x14ac:dyDescent="0.25">
      <c r="A6136" t="str">
        <f>T("   847690")</f>
        <v xml:space="preserve">   847690</v>
      </c>
      <c r="B6136" t="str">
        <f>T("   Parties des machines automatiques de vente de produits, y.c. les machines automatiques pour changer la monnaie, n.d.a.")</f>
        <v xml:space="preserve">   Parties des machines automatiques de vente de produits, y.c. les machines automatiques pour changer la monnaie, n.d.a.</v>
      </c>
      <c r="C6136">
        <v>3753431</v>
      </c>
      <c r="D6136">
        <v>30</v>
      </c>
    </row>
    <row r="6137" spans="1:4" x14ac:dyDescent="0.25">
      <c r="A6137" t="str">
        <f>T("   848280")</f>
        <v xml:space="preserve">   848280</v>
      </c>
      <c r="B6137" t="s">
        <v>442</v>
      </c>
      <c r="C6137">
        <v>72385009</v>
      </c>
      <c r="D6137">
        <v>9313</v>
      </c>
    </row>
    <row r="6138" spans="1:4" x14ac:dyDescent="0.25">
      <c r="A6138" t="str">
        <f>T("   848410")</f>
        <v xml:space="preserve">   848410</v>
      </c>
      <c r="B6138" t="str">
        <f>T("   Joints métalloplastiques")</f>
        <v xml:space="preserve">   Joints métalloplastiques</v>
      </c>
      <c r="C6138">
        <v>546958</v>
      </c>
      <c r="D6138">
        <v>825</v>
      </c>
    </row>
    <row r="6139" spans="1:4" x14ac:dyDescent="0.25">
      <c r="A6139" t="str">
        <f>T("   850440")</f>
        <v xml:space="preserve">   850440</v>
      </c>
      <c r="B6139" t="str">
        <f>T("   CONVERTISSEURS STATIQUES")</f>
        <v xml:space="preserve">   CONVERTISSEURS STATIQUES</v>
      </c>
      <c r="C6139">
        <v>647123</v>
      </c>
      <c r="D6139">
        <v>789</v>
      </c>
    </row>
    <row r="6140" spans="1:4" x14ac:dyDescent="0.25">
      <c r="A6140" t="str">
        <f>T("   850490")</f>
        <v xml:space="preserve">   850490</v>
      </c>
      <c r="B6140" t="str">
        <f>T("   Parties de transformateurs, de bobines de réactance et selfs n.d.a.")</f>
        <v xml:space="preserve">   Parties de transformateurs, de bobines de réactance et selfs n.d.a.</v>
      </c>
      <c r="C6140">
        <v>35179</v>
      </c>
      <c r="D6140">
        <v>20</v>
      </c>
    </row>
    <row r="6141" spans="1:4" x14ac:dyDescent="0.25">
      <c r="A6141" t="str">
        <f>T("   850610")</f>
        <v xml:space="preserve">   850610</v>
      </c>
      <c r="B6141" t="str">
        <f>T("   Piles et batteries de piles électriques, au bioxyde de manganèse (sauf hors d'usage)")</f>
        <v xml:space="preserve">   Piles et batteries de piles électriques, au bioxyde de manganèse (sauf hors d'usage)</v>
      </c>
      <c r="C6141">
        <v>48763663</v>
      </c>
      <c r="D6141">
        <v>115700</v>
      </c>
    </row>
    <row r="6142" spans="1:4" x14ac:dyDescent="0.25">
      <c r="A6142" t="str">
        <f>T("   850940")</f>
        <v xml:space="preserve">   850940</v>
      </c>
      <c r="B6142" t="str">
        <f>T("   Broyeurs et mélangeurs pour aliments; presse-fruits et presse-légumes à moteur électrique incorporé, à usage domestique")</f>
        <v xml:space="preserve">   Broyeurs et mélangeurs pour aliments; presse-fruits et presse-légumes à moteur électrique incorporé, à usage domestique</v>
      </c>
      <c r="C6142">
        <v>2110641</v>
      </c>
      <c r="D6142">
        <v>1234</v>
      </c>
    </row>
    <row r="6143" spans="1:4" x14ac:dyDescent="0.25">
      <c r="A6143" t="str">
        <f>T("   851310")</f>
        <v xml:space="preserve">   851310</v>
      </c>
      <c r="B6143" t="str">
        <f>T("   Lampes électriques portatives, destinées à fonctionner au moyen de leur propre source d'énergie")</f>
        <v xml:space="preserve">   Lampes électriques portatives, destinées à fonctionner au moyen de leur propre source d'énergie</v>
      </c>
      <c r="C6143">
        <v>800000</v>
      </c>
      <c r="D6143">
        <v>4230</v>
      </c>
    </row>
    <row r="6144" spans="1:4" x14ac:dyDescent="0.25">
      <c r="A6144" t="str">
        <f>T("   851640")</f>
        <v xml:space="preserve">   851640</v>
      </c>
      <c r="B6144" t="str">
        <f>T("   Fers à repasser électriques")</f>
        <v xml:space="preserve">   Fers à repasser électriques</v>
      </c>
      <c r="C6144">
        <v>1352111</v>
      </c>
      <c r="D6144">
        <v>876</v>
      </c>
    </row>
    <row r="6145" spans="1:4" x14ac:dyDescent="0.25">
      <c r="A6145" t="str">
        <f>T("   851671")</f>
        <v xml:space="preserve">   851671</v>
      </c>
      <c r="B6145" t="str">
        <f>T("   Appareils électriques pour la préparation du café ou du thé, pour usages domestiques")</f>
        <v xml:space="preserve">   Appareils électriques pour la préparation du café ou du thé, pour usages domestiques</v>
      </c>
      <c r="C6145">
        <v>166523</v>
      </c>
      <c r="D6145">
        <v>93</v>
      </c>
    </row>
    <row r="6146" spans="1:4" x14ac:dyDescent="0.25">
      <c r="A6146" t="str">
        <f>T("   851679")</f>
        <v xml:space="preserve">   851679</v>
      </c>
      <c r="B6146" t="s">
        <v>451</v>
      </c>
      <c r="C6146">
        <v>585192</v>
      </c>
      <c r="D6146">
        <v>326</v>
      </c>
    </row>
    <row r="6147" spans="1:4" x14ac:dyDescent="0.25">
      <c r="A6147" t="str">
        <f>T("   851750")</f>
        <v xml:space="preserve">   851750</v>
      </c>
      <c r="B6147" t="s">
        <v>452</v>
      </c>
      <c r="C6147">
        <v>642137</v>
      </c>
      <c r="D6147">
        <v>190</v>
      </c>
    </row>
    <row r="6148" spans="1:4" x14ac:dyDescent="0.25">
      <c r="A6148" t="str">
        <f>T("   851780")</f>
        <v xml:space="preserve">   851780</v>
      </c>
      <c r="B6148" t="s">
        <v>453</v>
      </c>
      <c r="C6148">
        <v>535350</v>
      </c>
      <c r="D6148">
        <v>12</v>
      </c>
    </row>
    <row r="6149" spans="1:4" x14ac:dyDescent="0.25">
      <c r="A6149" t="str">
        <f>T("   852190")</f>
        <v xml:space="preserve">   852190</v>
      </c>
      <c r="B6149" t="s">
        <v>458</v>
      </c>
      <c r="C6149">
        <v>500000</v>
      </c>
      <c r="D6149">
        <v>750</v>
      </c>
    </row>
    <row r="6150" spans="1:4" x14ac:dyDescent="0.25">
      <c r="A6150" t="str">
        <f>T("   852460")</f>
        <v xml:space="preserve">   852460</v>
      </c>
      <c r="B6150" t="str">
        <f>T("   Cartes munies d'une piste magnétique enregistrée")</f>
        <v xml:space="preserve">   Cartes munies d'une piste magnétique enregistrée</v>
      </c>
      <c r="C6150">
        <v>236841</v>
      </c>
      <c r="D6150">
        <v>24</v>
      </c>
    </row>
    <row r="6151" spans="1:4" x14ac:dyDescent="0.25">
      <c r="A6151" t="str">
        <f>T("   852499")</f>
        <v xml:space="preserve">   852499</v>
      </c>
      <c r="B6151" t="s">
        <v>461</v>
      </c>
      <c r="C6151">
        <v>500000</v>
      </c>
      <c r="D6151">
        <v>2034</v>
      </c>
    </row>
    <row r="6152" spans="1:4" x14ac:dyDescent="0.25">
      <c r="A6152" t="str">
        <f>T("   852520")</f>
        <v xml:space="preserve">   852520</v>
      </c>
      <c r="B6152" t="str">
        <f>T("   Appareils d'émission incorporant un appareil de réception, pour la radiotéléphonie, la radiotélégraphie, la radiodiffusion ou la télévision")</f>
        <v xml:space="preserve">   Appareils d'émission incorporant un appareil de réception, pour la radiotéléphonie, la radiotélégraphie, la radiodiffusion ou la télévision</v>
      </c>
      <c r="C6152">
        <v>200000</v>
      </c>
      <c r="D6152">
        <v>700</v>
      </c>
    </row>
    <row r="6153" spans="1:4" x14ac:dyDescent="0.25">
      <c r="A6153" t="str">
        <f>T("   852812")</f>
        <v xml:space="preserve">   852812</v>
      </c>
      <c r="B6153"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6153">
        <v>467651</v>
      </c>
      <c r="D6153">
        <v>1300</v>
      </c>
    </row>
    <row r="6154" spans="1:4" x14ac:dyDescent="0.25">
      <c r="A6154" t="str">
        <f>T("   852813")</f>
        <v xml:space="preserve">   852813</v>
      </c>
      <c r="B6154" t="str">
        <f>T("   Appareils récepteurs pour la télévision en noir et blanc ou en autres monochromes, même incorporant un appareil récepteur de radiodiffusion ou un appareil d'enregistrement ou de reproduction du son ou des images")</f>
        <v xml:space="preserve">   Appareils récepteurs pour la télévision en noir et blanc ou en autres monochromes, même incorporant un appareil récepteur de radiodiffusion ou un appareil d'enregistrement ou de reproduction du son ou des images</v>
      </c>
      <c r="C6154">
        <v>427445</v>
      </c>
      <c r="D6154">
        <v>5528</v>
      </c>
    </row>
    <row r="6155" spans="1:4" x14ac:dyDescent="0.25">
      <c r="A6155" t="str">
        <f>T("   852910")</f>
        <v xml:space="preserve">   852910</v>
      </c>
      <c r="B6155" t="str">
        <f>T("   Antennes et réflecteurs d'antennes de tous types; parties reconnaissables comme étant utilisées conjointement avec ces articles, n.d.a.")</f>
        <v xml:space="preserve">   Antennes et réflecteurs d'antennes de tous types; parties reconnaissables comme étant utilisées conjointement avec ces articles, n.d.a.</v>
      </c>
      <c r="C6155">
        <v>209328</v>
      </c>
      <c r="D6155">
        <v>117</v>
      </c>
    </row>
    <row r="6156" spans="1:4" x14ac:dyDescent="0.25">
      <c r="A6156" t="str">
        <f>T("   853590")</f>
        <v xml:space="preserve">   853590</v>
      </c>
      <c r="B6156" t="s">
        <v>468</v>
      </c>
      <c r="C6156">
        <v>1500000</v>
      </c>
      <c r="D6156">
        <v>6795</v>
      </c>
    </row>
    <row r="6157" spans="1:4" x14ac:dyDescent="0.25">
      <c r="A6157" t="str">
        <f>T("   853931")</f>
        <v xml:space="preserve">   853931</v>
      </c>
      <c r="B6157" t="str">
        <f>T("   Lampes et tubes à décharge, fluorescents, à cathode chaude")</f>
        <v xml:space="preserve">   Lampes et tubes à décharge, fluorescents, à cathode chaude</v>
      </c>
      <c r="C6157">
        <v>2000000</v>
      </c>
      <c r="D6157">
        <v>11400</v>
      </c>
    </row>
    <row r="6158" spans="1:4" x14ac:dyDescent="0.25">
      <c r="A6158" t="str">
        <f>T("   854381")</f>
        <v xml:space="preserve">   854381</v>
      </c>
      <c r="B6158" t="str">
        <f>T("   Cartes et étiquettes à déclenchement par effet de proximité, constituées par un circuit intégré à mémoire morte relié à une antenne imprimée")</f>
        <v xml:space="preserve">   Cartes et étiquettes à déclenchement par effet de proximité, constituées par un circuit intégré à mémoire morte relié à une antenne imprimée</v>
      </c>
      <c r="C6158">
        <v>700000</v>
      </c>
      <c r="D6158">
        <v>1030</v>
      </c>
    </row>
    <row r="6159" spans="1:4" x14ac:dyDescent="0.25">
      <c r="A6159" t="str">
        <f>T("   854451")</f>
        <v xml:space="preserve">   854451</v>
      </c>
      <c r="B6159" t="str">
        <f>T("   Conducteurs électriques, pour tension &gt; 80 V mais &lt;= 1.000 V, avec pièces de connexion, n.d.a.")</f>
        <v xml:space="preserve">   Conducteurs électriques, pour tension &gt; 80 V mais &lt;= 1.000 V, avec pièces de connexion, n.d.a.</v>
      </c>
      <c r="C6159">
        <v>1732998</v>
      </c>
      <c r="D6159">
        <v>5920</v>
      </c>
    </row>
    <row r="6160" spans="1:4" x14ac:dyDescent="0.25">
      <c r="A6160" t="str">
        <f>T("   870190")</f>
        <v xml:space="preserve">   870190</v>
      </c>
      <c r="B6160" t="str">
        <f>T("   Tracteurs (à l'excl. des chariots-tracteurs du n° 8709, ainsi que des motoculteurs, tracteurs routiers pour semi-remorques et tracteurs à chenilles)")</f>
        <v xml:space="preserve">   Tracteurs (à l'excl. des chariots-tracteurs du n° 8709, ainsi que des motoculteurs, tracteurs routiers pour semi-remorques et tracteurs à chenilles)</v>
      </c>
      <c r="C6160">
        <v>1683068</v>
      </c>
      <c r="D6160">
        <v>7422</v>
      </c>
    </row>
    <row r="6161" spans="1:4" x14ac:dyDescent="0.25">
      <c r="A6161" t="str">
        <f>T("   870210")</f>
        <v xml:space="preserve">   870210</v>
      </c>
      <c r="B6161" t="s">
        <v>472</v>
      </c>
      <c r="C6161">
        <v>19678372</v>
      </c>
      <c r="D6161">
        <v>6900</v>
      </c>
    </row>
    <row r="6162" spans="1:4" x14ac:dyDescent="0.25">
      <c r="A6162" t="str">
        <f>T("   870322")</f>
        <v xml:space="preserve">   870322</v>
      </c>
      <c r="B6162" t="s">
        <v>475</v>
      </c>
      <c r="C6162">
        <v>5953562</v>
      </c>
      <c r="D6162">
        <v>6219</v>
      </c>
    </row>
    <row r="6163" spans="1:4" x14ac:dyDescent="0.25">
      <c r="A6163" t="str">
        <f>T("   870323")</f>
        <v xml:space="preserve">   870323</v>
      </c>
      <c r="B6163" t="s">
        <v>476</v>
      </c>
      <c r="C6163">
        <v>13392914</v>
      </c>
      <c r="D6163">
        <v>3995</v>
      </c>
    </row>
    <row r="6164" spans="1:4" x14ac:dyDescent="0.25">
      <c r="A6164" t="str">
        <f>T("   870421")</f>
        <v xml:space="preserve">   870421</v>
      </c>
      <c r="B6164" t="s">
        <v>481</v>
      </c>
      <c r="C6164">
        <v>2200542</v>
      </c>
      <c r="D6164">
        <v>1800</v>
      </c>
    </row>
    <row r="6165" spans="1:4" x14ac:dyDescent="0.25">
      <c r="A6165" t="str">
        <f>T("   870422")</f>
        <v xml:space="preserve">   870422</v>
      </c>
      <c r="B6165" t="s">
        <v>482</v>
      </c>
      <c r="C6165">
        <v>24338021</v>
      </c>
      <c r="D6165">
        <v>88000</v>
      </c>
    </row>
    <row r="6166" spans="1:4" x14ac:dyDescent="0.25">
      <c r="A6166" t="str">
        <f>T("   870490")</f>
        <v xml:space="preserve">   870490</v>
      </c>
      <c r="B6166" t="str">
        <f>T("   Véhicules automobiles pour le transport de marchandises à moteur autre qu'à piston à allumage par étincelles ou moteur diesel ou semi-diesel (sauf tombereaux automoteurs du n° 8704.10, véhicules automobiles à usages spéciaux du n° 8705)")</f>
        <v xml:space="preserve">   Véhicules automobiles pour le transport de marchandises à moteur autre qu'à piston à allumage par étincelles ou moteur diesel ou semi-diesel (sauf tombereaux automoteurs du n° 8704.10, véhicules automobiles à usages spéciaux du n° 8705)</v>
      </c>
      <c r="C6166">
        <v>17797509</v>
      </c>
      <c r="D6166">
        <v>25500</v>
      </c>
    </row>
    <row r="6167" spans="1:4" x14ac:dyDescent="0.25">
      <c r="A6167" t="str">
        <f>T("   871200")</f>
        <v xml:space="preserve">   871200</v>
      </c>
      <c r="B6167" t="str">
        <f>T("   BICYCLETTES ET AUTRES CYCLES, -Y.C. LES TRIPORTEURS-, SANS MOTEUR")</f>
        <v xml:space="preserve">   BICYCLETTES ET AUTRES CYCLES, -Y.C. LES TRIPORTEURS-, SANS MOTEUR</v>
      </c>
      <c r="C6167">
        <v>1854759</v>
      </c>
      <c r="D6167">
        <v>6450</v>
      </c>
    </row>
    <row r="6168" spans="1:4" x14ac:dyDescent="0.25">
      <c r="A6168" t="str">
        <f>T("   871419")</f>
        <v xml:space="preserve">   871419</v>
      </c>
      <c r="B6168" t="str">
        <f>T("   Parties et accessoires de motocycles, y.c. de cyclomoteurs, n.d.a.")</f>
        <v xml:space="preserve">   Parties et accessoires de motocycles, y.c. de cyclomoteurs, n.d.a.</v>
      </c>
      <c r="C6168">
        <v>8385617</v>
      </c>
      <c r="D6168">
        <v>36136</v>
      </c>
    </row>
    <row r="6169" spans="1:4" x14ac:dyDescent="0.25">
      <c r="A6169" t="str">
        <f>T("   871500")</f>
        <v xml:space="preserve">   871500</v>
      </c>
      <c r="B6169" t="str">
        <f>T("   Landaus, poussettes et voitures simil., pour le transport des enfants, et leurs parties, n.d.a.")</f>
        <v xml:space="preserve">   Landaus, poussettes et voitures simil., pour le transport des enfants, et leurs parties, n.d.a.</v>
      </c>
      <c r="C6169">
        <v>50000</v>
      </c>
      <c r="D6169">
        <v>20</v>
      </c>
    </row>
    <row r="6170" spans="1:4" x14ac:dyDescent="0.25">
      <c r="A6170" t="str">
        <f>T("   903289")</f>
        <v xml:space="preserve">   903289</v>
      </c>
      <c r="B6170" t="s">
        <v>503</v>
      </c>
      <c r="C6170">
        <v>769357</v>
      </c>
      <c r="D6170">
        <v>937</v>
      </c>
    </row>
    <row r="6171" spans="1:4" x14ac:dyDescent="0.25">
      <c r="A6171" t="str">
        <f>T("   910529")</f>
        <v xml:space="preserve">   910529</v>
      </c>
      <c r="B6171" t="str">
        <f>T("   Pendules et horloges murales ne fonctionnant pas électriquement")</f>
        <v xml:space="preserve">   Pendules et horloges murales ne fonctionnant pas électriquement</v>
      </c>
      <c r="C6171">
        <v>539458</v>
      </c>
      <c r="D6171">
        <v>301</v>
      </c>
    </row>
    <row r="6172" spans="1:4" x14ac:dyDescent="0.25">
      <c r="A6172" t="str">
        <f>T("   940180")</f>
        <v xml:space="preserve">   940180</v>
      </c>
      <c r="B6172" t="str">
        <f>T("   Sièges, n.d.a.")</f>
        <v xml:space="preserve">   Sièges, n.d.a.</v>
      </c>
      <c r="C6172">
        <v>665126</v>
      </c>
      <c r="D6172">
        <v>3494</v>
      </c>
    </row>
    <row r="6173" spans="1:4" x14ac:dyDescent="0.25">
      <c r="A6173" t="str">
        <f>T("   940330")</f>
        <v xml:space="preserve">   940330</v>
      </c>
      <c r="B6173" t="str">
        <f>T("   Meubles de bureau en bois (sauf sièges)")</f>
        <v xml:space="preserve">   Meubles de bureau en bois (sauf sièges)</v>
      </c>
      <c r="C6173">
        <v>1000000</v>
      </c>
      <c r="D6173">
        <v>7520</v>
      </c>
    </row>
    <row r="6174" spans="1:4" x14ac:dyDescent="0.25">
      <c r="A6174" t="str">
        <f>T("   940360")</f>
        <v xml:space="preserve">   940360</v>
      </c>
      <c r="B6174" t="str">
        <f>T("   Meubles en bois (autres que pour bureaux, cuisines ou chambres à coucher et autres que sièges)")</f>
        <v xml:space="preserve">   Meubles en bois (autres que pour bureaux, cuisines ou chambres à coucher et autres que sièges)</v>
      </c>
      <c r="C6174">
        <v>5305734</v>
      </c>
      <c r="D6174">
        <v>17235</v>
      </c>
    </row>
    <row r="6175" spans="1:4" x14ac:dyDescent="0.25">
      <c r="A6175" t="str">
        <f>T("   940380")</f>
        <v xml:space="preserve">   940380</v>
      </c>
      <c r="B6175" t="str">
        <f>T("   Meubles en rotin, osier, bambou ou autres matières (sauf métal, bois et matières plastiques)")</f>
        <v xml:space="preserve">   Meubles en rotin, osier, bambou ou autres matières (sauf métal, bois et matières plastiques)</v>
      </c>
      <c r="C6175">
        <v>1000000</v>
      </c>
      <c r="D6175">
        <v>4120</v>
      </c>
    </row>
    <row r="6176" spans="1:4" x14ac:dyDescent="0.25">
      <c r="A6176" t="str">
        <f>T("   940421")</f>
        <v xml:space="preserve">   940421</v>
      </c>
      <c r="B6176" t="str">
        <f>T("   Matelas en caoutchouc alvéolaire ou en matières plastiques alvéolaires")</f>
        <v xml:space="preserve">   Matelas en caoutchouc alvéolaire ou en matières plastiques alvéolaires</v>
      </c>
      <c r="C6176">
        <v>3350000</v>
      </c>
      <c r="D6176">
        <v>2000</v>
      </c>
    </row>
    <row r="6177" spans="1:4" x14ac:dyDescent="0.25">
      <c r="A6177" t="str">
        <f>T("   940490")</f>
        <v xml:space="preserve">   940490</v>
      </c>
      <c r="B6177" t="s">
        <v>508</v>
      </c>
      <c r="C6177">
        <v>2513812</v>
      </c>
      <c r="D6177">
        <v>5320</v>
      </c>
    </row>
    <row r="6178" spans="1:4" x14ac:dyDescent="0.25">
      <c r="A6178" t="str">
        <f>T("   940540")</f>
        <v xml:space="preserve">   940540</v>
      </c>
      <c r="B6178" t="str">
        <f>T("   Appareils d'éclairage électrique, n.d.a.")</f>
        <v xml:space="preserve">   Appareils d'éclairage électrique, n.d.a.</v>
      </c>
      <c r="C6178">
        <v>29499</v>
      </c>
      <c r="D6178">
        <v>140</v>
      </c>
    </row>
    <row r="6179" spans="1:4" x14ac:dyDescent="0.25">
      <c r="A6179" t="str">
        <f>T("   950210")</f>
        <v xml:space="preserve">   950210</v>
      </c>
      <c r="B6179" t="str">
        <f>T("   Poupées représentant uniquement l'être humain, habillées ou non")</f>
        <v xml:space="preserve">   Poupées représentant uniquement l'être humain, habillées ou non</v>
      </c>
      <c r="C6179">
        <v>5179688</v>
      </c>
      <c r="D6179">
        <v>15470</v>
      </c>
    </row>
    <row r="6180" spans="1:4" x14ac:dyDescent="0.25">
      <c r="A6180" t="str">
        <f>T("   950669")</f>
        <v xml:space="preserve">   950669</v>
      </c>
      <c r="B6180" t="str">
        <f>T("   Ballons et balles (autres que gonflables et autres que balles de golf ou de tennis de table)")</f>
        <v xml:space="preserve">   Ballons et balles (autres que gonflables et autres que balles de golf ou de tennis de table)</v>
      </c>
      <c r="C6180">
        <v>183506</v>
      </c>
      <c r="D6180">
        <v>820</v>
      </c>
    </row>
    <row r="6181" spans="1:4" x14ac:dyDescent="0.25">
      <c r="A6181" t="str">
        <f>T("   960321")</f>
        <v xml:space="preserve">   960321</v>
      </c>
      <c r="B6181" t="str">
        <f>T("   Brosses à dent, y.c. brosses à prothèses dentaires")</f>
        <v xml:space="preserve">   Brosses à dent, y.c. brosses à prothèses dentaires</v>
      </c>
      <c r="C6181">
        <v>1990000</v>
      </c>
      <c r="D6181">
        <v>16439</v>
      </c>
    </row>
    <row r="6182" spans="1:4" x14ac:dyDescent="0.25">
      <c r="A6182" t="str">
        <f>T("   960629")</f>
        <v xml:space="preserve">   960629</v>
      </c>
      <c r="B6182" t="str">
        <f>T("   Boutons (sauf boutons en matières plastiques ou en métaux communs, non recouverts de matières textiles, boutons-pressions et boutons de manchette)")</f>
        <v xml:space="preserve">   Boutons (sauf boutons en matières plastiques ou en métaux communs, non recouverts de matières textiles, boutons-pressions et boutons de manchette)</v>
      </c>
      <c r="C6182">
        <v>1091032</v>
      </c>
      <c r="D6182">
        <v>115</v>
      </c>
    </row>
    <row r="6183" spans="1:4" x14ac:dyDescent="0.25">
      <c r="A6183" t="str">
        <f>T("   960810")</f>
        <v xml:space="preserve">   960810</v>
      </c>
      <c r="B6183" t="str">
        <f>T("   Stylos et crayons à bille")</f>
        <v xml:space="preserve">   Stylos et crayons à bille</v>
      </c>
      <c r="C6183">
        <v>200000</v>
      </c>
      <c r="D6183">
        <v>165</v>
      </c>
    </row>
    <row r="6184" spans="1:4" x14ac:dyDescent="0.25">
      <c r="A6184" t="str">
        <f>T("   961511")</f>
        <v xml:space="preserve">   961511</v>
      </c>
      <c r="B6184" t="str">
        <f>T("   PEIGNÉS À COIFFER, PEIGNÉS DE COIFFURE, BARRETTES ET ARTICLES SIMIL., EN CAOUTCHOUC DURCI OU EN MATIÈRES PLASTIQUES")</f>
        <v xml:space="preserve">   PEIGNÉS À COIFFER, PEIGNÉS DE COIFFURE, BARRETTES ET ARTICLES SIMIL., EN CAOUTCHOUC DURCI OU EN MATIÈRES PLASTIQUES</v>
      </c>
      <c r="C6184">
        <v>2807000</v>
      </c>
      <c r="D6184">
        <v>18291</v>
      </c>
    </row>
    <row r="6185" spans="1:4" x14ac:dyDescent="0.25">
      <c r="A6185" t="str">
        <f>T("   961700")</f>
        <v xml:space="preserve">   961700</v>
      </c>
      <c r="B6185" t="str">
        <f>T("   Bouteilles isolantes et autres récipients isothermiques montés, dont l'isolation est assurée par le vide, ainsi que leurs parties (à l'excl. des ampoules en verre)")</f>
        <v xml:space="preserve">   Bouteilles isolantes et autres récipients isothermiques montés, dont l'isolation est assurée par le vide, ainsi que leurs parties (à l'excl. des ampoules en verre)</v>
      </c>
      <c r="C6185">
        <v>4319200</v>
      </c>
      <c r="D6185">
        <v>13982</v>
      </c>
    </row>
    <row r="6186" spans="1:4" x14ac:dyDescent="0.25">
      <c r="A6186" t="str">
        <f>T("   961800")</f>
        <v xml:space="preserve">   961800</v>
      </c>
      <c r="B6186" t="str">
        <f>T("   Mannequins et articles simil.; automates et scènes animées pour étalages (à l'excl. des modèles utilisés pour l'enseignement, des poupées présentant des caractères de jouet et des marchandises présentées sur ces mannequins)")</f>
        <v xml:space="preserve">   Mannequins et articles simil.; automates et scènes animées pour étalages (à l'excl. des modèles utilisés pour l'enseignement, des poupées présentant des caractères de jouet et des marchandises présentées sur ces mannequins)</v>
      </c>
      <c r="C6186">
        <v>2736322</v>
      </c>
      <c r="D6186">
        <v>2000</v>
      </c>
    </row>
    <row r="6187" spans="1:4" x14ac:dyDescent="0.25">
      <c r="A6187" t="str">
        <f>T("GM")</f>
        <v>GM</v>
      </c>
      <c r="B6187" t="str">
        <f>T("Gambie")</f>
        <v>Gambie</v>
      </c>
    </row>
    <row r="6188" spans="1:4" x14ac:dyDescent="0.25">
      <c r="A6188" t="str">
        <f>T("   ZZ_Total_Produit_SH6")</f>
        <v xml:space="preserve">   ZZ_Total_Produit_SH6</v>
      </c>
      <c r="B6188" t="str">
        <f>T("   ZZ_Total_Produit_SH6")</f>
        <v xml:space="preserve">   ZZ_Total_Produit_SH6</v>
      </c>
      <c r="C6188">
        <v>31935816</v>
      </c>
      <c r="D6188">
        <v>117850</v>
      </c>
    </row>
    <row r="6189" spans="1:4" x14ac:dyDescent="0.25">
      <c r="A6189" t="str">
        <f>T("   190531")</f>
        <v xml:space="preserve">   190531</v>
      </c>
      <c r="B6189" t="str">
        <f>T("   Biscuits additionnés d'édulcorants")</f>
        <v xml:space="preserve">   Biscuits additionnés d'édulcorants</v>
      </c>
      <c r="C6189">
        <v>787572</v>
      </c>
      <c r="D6189">
        <v>13000</v>
      </c>
    </row>
    <row r="6190" spans="1:4" x14ac:dyDescent="0.25">
      <c r="A6190" t="str">
        <f>T("   330510")</f>
        <v xml:space="preserve">   330510</v>
      </c>
      <c r="B6190" t="str">
        <f>T("   Shampooings")</f>
        <v xml:space="preserve">   Shampooings</v>
      </c>
      <c r="C6190">
        <v>3434064</v>
      </c>
      <c r="D6190">
        <v>38000</v>
      </c>
    </row>
    <row r="6191" spans="1:4" x14ac:dyDescent="0.25">
      <c r="A6191" t="str">
        <f>T("   340119")</f>
        <v xml:space="preserve">   340119</v>
      </c>
      <c r="B6191" t="s">
        <v>102</v>
      </c>
      <c r="C6191">
        <v>1575145</v>
      </c>
      <c r="D6191">
        <v>16952</v>
      </c>
    </row>
    <row r="6192" spans="1:4" x14ac:dyDescent="0.25">
      <c r="A6192" t="str">
        <f>T("   520852")</f>
        <v xml:space="preserve">   520852</v>
      </c>
      <c r="B6192" t="str">
        <f>T("   Tissus de coton, imprimés, à armure toile, contenant &gt;= 85% en poids de coton, d'un poids &gt; 100 g/m² mais &lt;= 200 g/m²")</f>
        <v xml:space="preserve">   Tissus de coton, imprimés, à armure toile, contenant &gt;= 85% en poids de coton, d'un poids &gt; 100 g/m² mais &lt;= 200 g/m²</v>
      </c>
      <c r="C6192">
        <v>17000000</v>
      </c>
      <c r="D6192">
        <v>18450</v>
      </c>
    </row>
    <row r="6193" spans="1:4" x14ac:dyDescent="0.25">
      <c r="A6193" t="str">
        <f>T("   611190")</f>
        <v xml:space="preserve">   611190</v>
      </c>
      <c r="B6193" t="str">
        <f>T("   VÊTEMENTS ET ACCESSOIRES DU VÊTEMENT, EN BONNETERIE, DE MATIÈRES TEXTILES, POUR BÉBÉS (SAUF DE COTON, FIBRES SYNTHÉTIQUES ET SAUF BONNETS)")</f>
        <v xml:space="preserve">   VÊTEMENTS ET ACCESSOIRES DU VÊTEMENT, EN BONNETERIE, DE MATIÈRES TEXTILES, POUR BÉBÉS (SAUF DE COTON, FIBRES SYNTHÉTIQUES ET SAUF BONNETS)</v>
      </c>
      <c r="C6193">
        <v>1350808</v>
      </c>
      <c r="D6193">
        <v>10000</v>
      </c>
    </row>
    <row r="6194" spans="1:4" x14ac:dyDescent="0.25">
      <c r="A6194" t="str">
        <f>T("   640590")</f>
        <v xml:space="preserve">   640590</v>
      </c>
      <c r="B6194" t="s">
        <v>290</v>
      </c>
      <c r="C6194">
        <v>7563891</v>
      </c>
      <c r="D6194">
        <v>21400</v>
      </c>
    </row>
    <row r="6195" spans="1:4" x14ac:dyDescent="0.25">
      <c r="A6195" t="str">
        <f>T("   821210")</f>
        <v xml:space="preserve">   821210</v>
      </c>
      <c r="B6195" t="str">
        <f>T("   Rasoirs et rasoirs de sûreté non-électriques, en métaux communs")</f>
        <v xml:space="preserve">   Rasoirs et rasoirs de sûreté non-électriques, en métaux communs</v>
      </c>
      <c r="C6195">
        <v>224336</v>
      </c>
      <c r="D6195">
        <v>48</v>
      </c>
    </row>
    <row r="6196" spans="1:4" x14ac:dyDescent="0.25">
      <c r="A6196" t="str">
        <f>T("GN")</f>
        <v>GN</v>
      </c>
      <c r="B6196" t="str">
        <f>T("Guinée")</f>
        <v>Guinée</v>
      </c>
    </row>
    <row r="6197" spans="1:4" x14ac:dyDescent="0.25">
      <c r="A6197" t="str">
        <f>T("   ZZ_Total_Produit_SH6")</f>
        <v xml:space="preserve">   ZZ_Total_Produit_SH6</v>
      </c>
      <c r="B6197" t="str">
        <f>T("   ZZ_Total_Produit_SH6")</f>
        <v xml:space="preserve">   ZZ_Total_Produit_SH6</v>
      </c>
      <c r="C6197">
        <v>620953523</v>
      </c>
      <c r="D6197">
        <v>2464976</v>
      </c>
    </row>
    <row r="6198" spans="1:4" x14ac:dyDescent="0.25">
      <c r="A6198" t="str">
        <f>T("   030379")</f>
        <v xml:space="preserve">   030379</v>
      </c>
      <c r="B6198" t="s">
        <v>15</v>
      </c>
      <c r="C6198">
        <v>535415276</v>
      </c>
      <c r="D6198">
        <v>2379623</v>
      </c>
    </row>
    <row r="6199" spans="1:4" x14ac:dyDescent="0.25">
      <c r="A6199" t="str">
        <f>T("   490199")</f>
        <v xml:space="preserve">   490199</v>
      </c>
      <c r="B6199"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6199">
        <v>79371</v>
      </c>
      <c r="D6199">
        <v>56</v>
      </c>
    </row>
    <row r="6200" spans="1:4" x14ac:dyDescent="0.25">
      <c r="A6200" t="str">
        <f>T("   620349")</f>
        <v xml:space="preserve">   620349</v>
      </c>
      <c r="B6200" t="s">
        <v>268</v>
      </c>
      <c r="C6200">
        <v>2427052</v>
      </c>
      <c r="D6200">
        <v>410</v>
      </c>
    </row>
    <row r="6201" spans="1:4" x14ac:dyDescent="0.25">
      <c r="A6201" t="str">
        <f>T("   620590")</f>
        <v xml:space="preserve">   620590</v>
      </c>
      <c r="B6201"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6201">
        <v>600000</v>
      </c>
      <c r="D6201">
        <v>550</v>
      </c>
    </row>
    <row r="6202" spans="1:4" x14ac:dyDescent="0.25">
      <c r="A6202" t="str">
        <f>T("   691200")</f>
        <v xml:space="preserve">   691200</v>
      </c>
      <c r="B6202" t="s">
        <v>316</v>
      </c>
      <c r="C6202">
        <v>1967880</v>
      </c>
      <c r="D6202">
        <v>200</v>
      </c>
    </row>
    <row r="6203" spans="1:4" x14ac:dyDescent="0.25">
      <c r="A6203" t="str">
        <f>T("   732394")</f>
        <v xml:space="preserve">   732394</v>
      </c>
      <c r="B6203" t="s">
        <v>361</v>
      </c>
      <c r="C6203">
        <v>400000</v>
      </c>
      <c r="D6203">
        <v>418</v>
      </c>
    </row>
    <row r="6204" spans="1:4" x14ac:dyDescent="0.25">
      <c r="A6204" t="str">
        <f>T("   842620")</f>
        <v xml:space="preserve">   842620</v>
      </c>
      <c r="B6204" t="str">
        <f>T("   Grues à tour")</f>
        <v xml:space="preserve">   Grues à tour</v>
      </c>
      <c r="C6204">
        <v>32350636</v>
      </c>
      <c r="D6204">
        <v>67875</v>
      </c>
    </row>
    <row r="6205" spans="1:4" x14ac:dyDescent="0.25">
      <c r="A6205" t="str">
        <f>T("   850212")</f>
        <v xml:space="preserve">   850212</v>
      </c>
      <c r="B6205" t="str">
        <f>T("   GROUPES ÉLECTROGÈNES À MOTEUR À PISTON À ALLUMAGE PAR COMPRESSION 'MOTEURS DIESEL OU SEMI-DIESEL', PUISSANCE &gt; 75 KVA MAIS &lt;= 375 KVA")</f>
        <v xml:space="preserve">   GROUPES ÉLECTROGÈNES À MOTEUR À PISTON À ALLUMAGE PAR COMPRESSION 'MOTEURS DIESEL OU SEMI-DIESEL', PUISSANCE &gt; 75 KVA MAIS &lt;= 375 KVA</v>
      </c>
      <c r="C6205">
        <v>31351795</v>
      </c>
      <c r="D6205">
        <v>9923</v>
      </c>
    </row>
    <row r="6206" spans="1:4" x14ac:dyDescent="0.25">
      <c r="A6206" t="str">
        <f>T("   852460")</f>
        <v xml:space="preserve">   852460</v>
      </c>
      <c r="B6206" t="str">
        <f>T("   Cartes munies d'une piste magnétique enregistrée")</f>
        <v xml:space="preserve">   Cartes munies d'une piste magnétique enregistrée</v>
      </c>
      <c r="C6206">
        <v>83753</v>
      </c>
      <c r="D6206">
        <v>1</v>
      </c>
    </row>
    <row r="6207" spans="1:4" x14ac:dyDescent="0.25">
      <c r="A6207" t="str">
        <f>T("   852812")</f>
        <v xml:space="preserve">   852812</v>
      </c>
      <c r="B6207"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6207">
        <v>13421800</v>
      </c>
      <c r="D6207">
        <v>2900</v>
      </c>
    </row>
    <row r="6208" spans="1:4" x14ac:dyDescent="0.25">
      <c r="A6208" t="str">
        <f>T("   853669")</f>
        <v xml:space="preserve">   853669</v>
      </c>
      <c r="B6208" t="str">
        <f>T("   Fiches et prises de courant, pour une tension &lt;= 1.000 V (sauf douilles pour lampes)")</f>
        <v xml:space="preserve">   Fiches et prises de courant, pour une tension &lt;= 1.000 V (sauf douilles pour lampes)</v>
      </c>
      <c r="C6208">
        <v>655960</v>
      </c>
      <c r="D6208">
        <v>90</v>
      </c>
    </row>
    <row r="6209" spans="1:4" x14ac:dyDescent="0.25">
      <c r="A6209" t="str">
        <f>T("   870421")</f>
        <v xml:space="preserve">   870421</v>
      </c>
      <c r="B6209" t="s">
        <v>481</v>
      </c>
      <c r="C6209">
        <v>1200000</v>
      </c>
      <c r="D6209">
        <v>1630</v>
      </c>
    </row>
    <row r="6210" spans="1:4" x14ac:dyDescent="0.25">
      <c r="A6210" t="str">
        <f>T("   940350")</f>
        <v xml:space="preserve">   940350</v>
      </c>
      <c r="B6210" t="str">
        <f>T("   Meubles pour chambres à coucher, en bois (sauf sièges)")</f>
        <v xml:space="preserve">   Meubles pour chambres à coucher, en bois (sauf sièges)</v>
      </c>
      <c r="C6210">
        <v>1000000</v>
      </c>
      <c r="D6210">
        <v>1300</v>
      </c>
    </row>
    <row r="6211" spans="1:4" x14ac:dyDescent="0.25">
      <c r="A6211" t="str">
        <f>T("GQ")</f>
        <v>GQ</v>
      </c>
      <c r="B6211" t="str">
        <f>T("Guinée Equatoriale")</f>
        <v>Guinée Equatoriale</v>
      </c>
    </row>
    <row r="6212" spans="1:4" x14ac:dyDescent="0.25">
      <c r="A6212" t="str">
        <f>T("   ZZ_Total_Produit_SH6")</f>
        <v xml:space="preserve">   ZZ_Total_Produit_SH6</v>
      </c>
      <c r="B6212" t="str">
        <f>T("   ZZ_Total_Produit_SH6")</f>
        <v xml:space="preserve">   ZZ_Total_Produit_SH6</v>
      </c>
      <c r="C6212">
        <v>1170092858</v>
      </c>
      <c r="D6212">
        <v>4894904</v>
      </c>
    </row>
    <row r="6213" spans="1:4" x14ac:dyDescent="0.25">
      <c r="A6213" t="str">
        <f>T("   271113")</f>
        <v xml:space="preserve">   271113</v>
      </c>
      <c r="B6213" t="str">
        <f>T("   Butanes, liquéfiés (à l'excl. des butanes d'une pureté &gt;= 95% en n-butane ou en isobutane)")</f>
        <v xml:space="preserve">   Butanes, liquéfiés (à l'excl. des butanes d'une pureté &gt;= 95% en n-butane ou en isobutane)</v>
      </c>
      <c r="C6213">
        <v>1170092858</v>
      </c>
      <c r="D6213">
        <v>4894904</v>
      </c>
    </row>
    <row r="6214" spans="1:4" x14ac:dyDescent="0.25">
      <c r="A6214" t="str">
        <f>T("GR")</f>
        <v>GR</v>
      </c>
      <c r="B6214" t="str">
        <f>T("Grèce")</f>
        <v>Grèce</v>
      </c>
    </row>
    <row r="6215" spans="1:4" x14ac:dyDescent="0.25">
      <c r="A6215" t="str">
        <f>T("   ZZ_Total_Produit_SH6")</f>
        <v xml:space="preserve">   ZZ_Total_Produit_SH6</v>
      </c>
      <c r="B6215" t="str">
        <f>T("   ZZ_Total_Produit_SH6")</f>
        <v xml:space="preserve">   ZZ_Total_Produit_SH6</v>
      </c>
      <c r="C6215">
        <v>10926807405</v>
      </c>
      <c r="D6215">
        <v>310661003</v>
      </c>
    </row>
    <row r="6216" spans="1:4" x14ac:dyDescent="0.25">
      <c r="A6216" t="str">
        <f>T("   020712")</f>
        <v xml:space="preserve">   020712</v>
      </c>
      <c r="B6216" t="str">
        <f>T("   COQS ET POULES [DES ESPÈCES DOMESTIQUES], NON-DÉCOUPÉS EN MORCEAUX, CONGELÉS")</f>
        <v xml:space="preserve">   COQS ET POULES [DES ESPÈCES DOMESTIQUES], NON-DÉCOUPÉS EN MORCEAUX, CONGELÉS</v>
      </c>
      <c r="C6216">
        <v>2069395</v>
      </c>
      <c r="D6216">
        <v>3327</v>
      </c>
    </row>
    <row r="6217" spans="1:4" x14ac:dyDescent="0.25">
      <c r="A6217" t="str">
        <f>T("   020714")</f>
        <v xml:space="preserve">   020714</v>
      </c>
      <c r="B6217" t="str">
        <f>T("   Morceaux et abats comestibles de coqs et de poules [des espèces domestiques], congelés")</f>
        <v xml:space="preserve">   Morceaux et abats comestibles de coqs et de poules [des espèces domestiques], congelés</v>
      </c>
      <c r="C6217">
        <v>13480616</v>
      </c>
      <c r="D6217">
        <v>21673</v>
      </c>
    </row>
    <row r="6218" spans="1:4" x14ac:dyDescent="0.25">
      <c r="A6218" t="str">
        <f>T("   252310")</f>
        <v xml:space="preserve">   252310</v>
      </c>
      <c r="B6218" t="str">
        <f>T("   Ciments non pulvérisés dits 'clinkers'")</f>
        <v xml:space="preserve">   Ciments non pulvérisés dits 'clinkers'</v>
      </c>
      <c r="C6218">
        <v>10871735000</v>
      </c>
      <c r="D6218">
        <v>310621000</v>
      </c>
    </row>
    <row r="6219" spans="1:4" x14ac:dyDescent="0.25">
      <c r="A6219" t="str">
        <f>T("   401039")</f>
        <v xml:space="preserve">   401039</v>
      </c>
      <c r="B6219" t="s">
        <v>154</v>
      </c>
      <c r="C6219">
        <v>1091452</v>
      </c>
      <c r="D6219">
        <v>225</v>
      </c>
    </row>
    <row r="6220" spans="1:4" x14ac:dyDescent="0.25">
      <c r="A6220" t="str">
        <f>T("   611490")</f>
        <v xml:space="preserve">   611490</v>
      </c>
      <c r="B6220" t="str">
        <f>T("   Vêtements spéciaux destinés à des fins professionnelles, sportives ou autres n.d.a., en bonneterie, de matières textiles (sauf de laine, poils fins, coton, fibres synthétiques ou artificielles)")</f>
        <v xml:space="preserve">   Vêtements spéciaux destinés à des fins professionnelles, sportives ou autres n.d.a., en bonneterie, de matières textiles (sauf de laine, poils fins, coton, fibres synthétiques ou artificielles)</v>
      </c>
      <c r="C6220">
        <v>4499886</v>
      </c>
      <c r="D6220">
        <v>3200</v>
      </c>
    </row>
    <row r="6221" spans="1:4" x14ac:dyDescent="0.25">
      <c r="A6221" t="str">
        <f>T("   820210")</f>
        <v xml:space="preserve">   820210</v>
      </c>
      <c r="B6221" t="str">
        <f>T("   Scies à main, avec partie travaillante en métaux communs (à l'excl. des tronçonneuses)")</f>
        <v xml:space="preserve">   Scies à main, avec partie travaillante en métaux communs (à l'excl. des tronçonneuses)</v>
      </c>
      <c r="C6221">
        <v>17821685</v>
      </c>
      <c r="D6221">
        <v>3055</v>
      </c>
    </row>
    <row r="6222" spans="1:4" x14ac:dyDescent="0.25">
      <c r="A6222" t="str">
        <f>T("   820239")</f>
        <v xml:space="preserve">   820239</v>
      </c>
      <c r="B6222" t="str">
        <f>T("   Lames de scies circulaires, y.c. les lames de fraises-scies, et leurs parties, en métaux communs et avec partie travaillante en matières autres que l'acier")</f>
        <v xml:space="preserve">   Lames de scies circulaires, y.c. les lames de fraises-scies, et leurs parties, en métaux communs et avec partie travaillante en matières autres que l'acier</v>
      </c>
      <c r="C6222">
        <v>2837565</v>
      </c>
      <c r="D6222">
        <v>720</v>
      </c>
    </row>
    <row r="6223" spans="1:4" x14ac:dyDescent="0.25">
      <c r="A6223" t="str">
        <f>T("   842290")</f>
        <v xml:space="preserve">   842290</v>
      </c>
      <c r="B6223" t="str">
        <f>T("   Parties des machines à laver la vaisselle, des machines à empaqueter ou à emballer les marchandises et autres machines et appareils du n° 8422, n.d.a.")</f>
        <v xml:space="preserve">   Parties des machines à laver la vaisselle, des machines à empaqueter ou à emballer les marchandises et autres machines et appareils du n° 8422, n.d.a.</v>
      </c>
      <c r="C6223">
        <v>789294</v>
      </c>
      <c r="D6223">
        <v>3</v>
      </c>
    </row>
    <row r="6224" spans="1:4" x14ac:dyDescent="0.25">
      <c r="A6224" t="str">
        <f>T("   870322")</f>
        <v xml:space="preserve">   870322</v>
      </c>
      <c r="B6224" t="s">
        <v>475</v>
      </c>
      <c r="C6224">
        <v>1200000</v>
      </c>
      <c r="D6224">
        <v>800</v>
      </c>
    </row>
    <row r="6225" spans="1:4" x14ac:dyDescent="0.25">
      <c r="A6225" t="str">
        <f>T("   901890")</f>
        <v xml:space="preserve">   901890</v>
      </c>
      <c r="B6225" t="str">
        <f>T("   Instruments et appareils pour la médecine, la chirurgie ou l'art vétérinaire, n.d.a.")</f>
        <v xml:space="preserve">   Instruments et appareils pour la médecine, la chirurgie ou l'art vétérinaire, n.d.a.</v>
      </c>
      <c r="C6225">
        <v>11282512</v>
      </c>
      <c r="D6225">
        <v>7000</v>
      </c>
    </row>
    <row r="6226" spans="1:4" x14ac:dyDescent="0.25">
      <c r="A6226" t="str">
        <f>T("GW")</f>
        <v>GW</v>
      </c>
      <c r="B6226" t="str">
        <f>T("Guinée-Bissau")</f>
        <v>Guinée-Bissau</v>
      </c>
    </row>
    <row r="6227" spans="1:4" x14ac:dyDescent="0.25">
      <c r="A6227" t="str">
        <f>T("   ZZ_Total_Produit_SH6")</f>
        <v xml:space="preserve">   ZZ_Total_Produit_SH6</v>
      </c>
      <c r="B6227" t="str">
        <f>T("   ZZ_Total_Produit_SH6")</f>
        <v xml:space="preserve">   ZZ_Total_Produit_SH6</v>
      </c>
      <c r="C6227">
        <v>4034073</v>
      </c>
      <c r="D6227">
        <v>4050</v>
      </c>
    </row>
    <row r="6228" spans="1:4" x14ac:dyDescent="0.25">
      <c r="A6228" t="str">
        <f>T("   850434")</f>
        <v xml:space="preserve">   850434</v>
      </c>
      <c r="B6228" t="str">
        <f>T("   Transformateurs à sec, puissance &gt; 500 kVA")</f>
        <v xml:space="preserve">   Transformateurs à sec, puissance &gt; 500 kVA</v>
      </c>
      <c r="C6228">
        <v>4034073</v>
      </c>
      <c r="D6228">
        <v>4050</v>
      </c>
    </row>
    <row r="6229" spans="1:4" x14ac:dyDescent="0.25">
      <c r="A6229" t="str">
        <f>T("GY")</f>
        <v>GY</v>
      </c>
      <c r="B6229" t="str">
        <f>T("Guyane")</f>
        <v>Guyane</v>
      </c>
    </row>
    <row r="6230" spans="1:4" x14ac:dyDescent="0.25">
      <c r="A6230" t="str">
        <f>T("   ZZ_Total_Produit_SH6")</f>
        <v xml:space="preserve">   ZZ_Total_Produit_SH6</v>
      </c>
      <c r="B6230" t="str">
        <f>T("   ZZ_Total_Produit_SH6")</f>
        <v xml:space="preserve">   ZZ_Total_Produit_SH6</v>
      </c>
      <c r="C6230">
        <v>10586126</v>
      </c>
      <c r="D6230">
        <v>2945</v>
      </c>
    </row>
    <row r="6231" spans="1:4" x14ac:dyDescent="0.25">
      <c r="A6231" t="str">
        <f>T("   340119")</f>
        <v xml:space="preserve">   340119</v>
      </c>
      <c r="B6231" t="s">
        <v>102</v>
      </c>
      <c r="C6231">
        <v>5243088</v>
      </c>
      <c r="D6231">
        <v>1450</v>
      </c>
    </row>
    <row r="6232" spans="1:4" x14ac:dyDescent="0.25">
      <c r="A6232" t="str">
        <f>T("   340120")</f>
        <v xml:space="preserve">   340120</v>
      </c>
      <c r="B6232" t="str">
        <f>T("   Savons en flocons, en paillettes, en granulés ou en poudres et savons liquides ou pâteux")</f>
        <v xml:space="preserve">   Savons en flocons, en paillettes, en granulés ou en poudres et savons liquides ou pâteux</v>
      </c>
      <c r="C6232">
        <v>5243038</v>
      </c>
      <c r="D6232">
        <v>1450</v>
      </c>
    </row>
    <row r="6233" spans="1:4" x14ac:dyDescent="0.25">
      <c r="A6233" t="str">
        <f>T("   392290")</f>
        <v xml:space="preserve">   392290</v>
      </c>
      <c r="B6233" t="str">
        <f>T("   Bidets, cuvettes d'aisance, réservoirs de chasse et articles simil. pour usages sanitaires ou hygiéniques, en matières plastiques (à l'excl. des baignoires, des douches, d'éviers, des lavabos ainsi que des sièges et couvercles de cuvettes d'aisance)")</f>
        <v xml:space="preserve">   Bidets, cuvettes d'aisance, réservoirs de chasse et articles simil. pour usages sanitaires ou hygiéniques, en matières plastiques (à l'excl. des baignoires, des douches, d'éviers, des lavabos ainsi que des sièges et couvercles de cuvettes d'aisance)</v>
      </c>
      <c r="C6233">
        <v>100000</v>
      </c>
      <c r="D6233">
        <v>45</v>
      </c>
    </row>
    <row r="6234" spans="1:4" x14ac:dyDescent="0.25">
      <c r="A6234" t="str">
        <f>T("HK")</f>
        <v>HK</v>
      </c>
      <c r="B6234" t="str">
        <f>T("Hong-Kong")</f>
        <v>Hong-Kong</v>
      </c>
    </row>
    <row r="6235" spans="1:4" x14ac:dyDescent="0.25">
      <c r="A6235" t="str">
        <f>T("   ZZ_Total_Produit_SH6")</f>
        <v xml:space="preserve">   ZZ_Total_Produit_SH6</v>
      </c>
      <c r="B6235" t="str">
        <f>T("   ZZ_Total_Produit_SH6")</f>
        <v xml:space="preserve">   ZZ_Total_Produit_SH6</v>
      </c>
      <c r="C6235">
        <v>11400682666.649</v>
      </c>
      <c r="D6235">
        <v>31489533.370000001</v>
      </c>
    </row>
    <row r="6236" spans="1:4" x14ac:dyDescent="0.25">
      <c r="A6236" t="str">
        <f>T("   040210")</f>
        <v xml:space="preserve">   040210</v>
      </c>
      <c r="B6236" t="str">
        <f>T("   Lait et crème de lait, en poudre, en granulés ou sous d'autres formes solides, d'une teneur en poids de matières grasses &lt;= 1,5%")</f>
        <v xml:space="preserve">   Lait et crème de lait, en poudre, en granulés ou sous d'autres formes solides, d'une teneur en poids de matières grasses &lt;= 1,5%</v>
      </c>
      <c r="C6236">
        <v>557754796</v>
      </c>
      <c r="D6236">
        <v>267339</v>
      </c>
    </row>
    <row r="6237" spans="1:4" x14ac:dyDescent="0.25">
      <c r="A6237" t="str">
        <f>T("   040229")</f>
        <v xml:space="preserve">   040229</v>
      </c>
      <c r="B6237" t="str">
        <f>T("   Lait et crème de lait, en poudre, en granulés ou sous d'autres formes solides, d'une teneur en poids de matières grasses &gt; 1,5%, avec addition de sucre ou d'autres édulcorants")</f>
        <v xml:space="preserve">   Lait et crème de lait, en poudre, en granulés ou sous d'autres formes solides, d'une teneur en poids de matières grasses &gt; 1,5%, avec addition de sucre ou d'autres édulcorants</v>
      </c>
      <c r="C6237">
        <v>87475000</v>
      </c>
      <c r="D6237">
        <v>31297</v>
      </c>
    </row>
    <row r="6238" spans="1:4" x14ac:dyDescent="0.25">
      <c r="A6238" t="str">
        <f>T("   040291")</f>
        <v xml:space="preserve">   040291</v>
      </c>
      <c r="B6238" t="str">
        <f>T("   Lait et crème de lait, concentrés, sans addition de sucre ou d'autres édulcorants (à l'excl. des laits et crèmes de lait en poudre, en granulés ou sous d'autres formes solides)")</f>
        <v xml:space="preserve">   Lait et crème de lait, concentrés, sans addition de sucre ou d'autres édulcorants (à l'excl. des laits et crèmes de lait en poudre, en granulés ou sous d'autres formes solides)</v>
      </c>
      <c r="C6238">
        <v>59013000</v>
      </c>
      <c r="D6238">
        <v>75448.800000000003</v>
      </c>
    </row>
    <row r="6239" spans="1:4" x14ac:dyDescent="0.25">
      <c r="A6239" t="str">
        <f>T("   040299")</f>
        <v xml:space="preserve">   040299</v>
      </c>
      <c r="B6239" t="str">
        <f>T("   Lait et crème de lait, concentrés, additionnés de sucre ou d'autres édulcorants (à l'excl. des laits et crèmes de lait en poudre, en granulés ou sous d'autres formes solides)")</f>
        <v xml:space="preserve">   Lait et crème de lait, concentrés, additionnés de sucre ou d'autres édulcorants (à l'excl. des laits et crèmes de lait en poudre, en granulés ou sous d'autres formes solides)</v>
      </c>
      <c r="C6239">
        <v>181245000</v>
      </c>
      <c r="D6239">
        <v>276082</v>
      </c>
    </row>
    <row r="6240" spans="1:4" x14ac:dyDescent="0.25">
      <c r="A6240" t="str">
        <f>T("   040510")</f>
        <v xml:space="preserve">   040510</v>
      </c>
      <c r="B6240" t="str">
        <f>T("   Beurre (sauf beurre déshydraté et ghee)")</f>
        <v xml:space="preserve">   Beurre (sauf beurre déshydraté et ghee)</v>
      </c>
      <c r="C6240">
        <v>4870000</v>
      </c>
      <c r="D6240">
        <v>20618</v>
      </c>
    </row>
    <row r="6241" spans="1:4" x14ac:dyDescent="0.25">
      <c r="A6241" t="str">
        <f>T("   100630")</f>
        <v xml:space="preserve">   100630</v>
      </c>
      <c r="B6241" t="str">
        <f>T("   Riz semi-blanchi ou blanchi, même poli ou glacé")</f>
        <v xml:space="preserve">   Riz semi-blanchi ou blanchi, même poli ou glacé</v>
      </c>
      <c r="C6241">
        <v>5451991446.0640001</v>
      </c>
      <c r="D6241">
        <v>18219689</v>
      </c>
    </row>
    <row r="6242" spans="1:4" x14ac:dyDescent="0.25">
      <c r="A6242" t="str">
        <f>T("   150990")</f>
        <v xml:space="preserve">   150990</v>
      </c>
      <c r="B6242" t="str">
        <f>T("   Huile d'olive et ses fractions, traitées mais non chimiquement modifiées, obtenues, à partir des fruits de l'olivier, uniquement par des procédés mécaniques ou physiques, dans des conditions n'altérant pas l'huile")</f>
        <v xml:space="preserve">   Huile d'olive et ses fractions, traitées mais non chimiquement modifiées, obtenues, à partir des fruits de l'olivier, uniquement par des procédés mécaniques ou physiques, dans des conditions n'altérant pas l'huile</v>
      </c>
      <c r="C6242">
        <v>2554597</v>
      </c>
      <c r="D6242">
        <v>4833</v>
      </c>
    </row>
    <row r="6243" spans="1:4" x14ac:dyDescent="0.25">
      <c r="A6243" t="str">
        <f>T("   151190")</f>
        <v xml:space="preserve">   151190</v>
      </c>
      <c r="B6243" t="str">
        <f>T("   Huile de palme et ses fractions, même raffinées, mais non chimiquement modifiées (à l'excl. de l'huile de palme brute)")</f>
        <v xml:space="preserve">   Huile de palme et ses fractions, même raffinées, mais non chimiquement modifiées (à l'excl. de l'huile de palme brute)</v>
      </c>
      <c r="C6243">
        <v>1219561245.585</v>
      </c>
      <c r="D6243">
        <v>3207990.5</v>
      </c>
    </row>
    <row r="6244" spans="1:4" x14ac:dyDescent="0.25">
      <c r="A6244" t="str">
        <f>T("   151620")</f>
        <v xml:space="preserve">   151620</v>
      </c>
      <c r="B6244" t="str">
        <f>T("   Graisses et huiles végétales et leurs fractions, partiellement ou totalement hydrogénées, interestérifiées, réestérifiées ou élaïdinisées, même raffinées, mais non autrement préparées")</f>
        <v xml:space="preserve">   Graisses et huiles végétales et leurs fractions, partiellement ou totalement hydrogénées, interestérifiées, réestérifiées ou élaïdinisées, même raffinées, mais non autrement préparées</v>
      </c>
      <c r="C6244">
        <v>44655000</v>
      </c>
      <c r="D6244">
        <v>159532</v>
      </c>
    </row>
    <row r="6245" spans="1:4" x14ac:dyDescent="0.25">
      <c r="A6245" t="str">
        <f>T("   151710")</f>
        <v xml:space="preserve">   151710</v>
      </c>
      <c r="B6245" t="str">
        <f>T("   Margarine (à l'excl. de la margarine liquide)")</f>
        <v xml:space="preserve">   Margarine (à l'excl. de la margarine liquide)</v>
      </c>
      <c r="C6245">
        <v>29136683</v>
      </c>
      <c r="D6245">
        <v>100854</v>
      </c>
    </row>
    <row r="6246" spans="1:4" x14ac:dyDescent="0.25">
      <c r="A6246" t="str">
        <f>T("   170199")</f>
        <v xml:space="preserve">   170199</v>
      </c>
      <c r="B6246" t="str">
        <f>T("   Sucres de canne ou de betterave et saccharose chimiquement pur, à l'état solide (à l'excl. des sucres bruts et des sucres de canne ou de betterave additionnés d'aromatisants ou de colorants)")</f>
        <v xml:space="preserve">   Sucres de canne ou de betterave et saccharose chimiquement pur, à l'état solide (à l'excl. des sucres bruts et des sucres de canne ou de betterave additionnés d'aromatisants ou de colorants)</v>
      </c>
      <c r="C6246">
        <v>22522680</v>
      </c>
      <c r="D6246">
        <v>187689</v>
      </c>
    </row>
    <row r="6247" spans="1:4" x14ac:dyDescent="0.25">
      <c r="A6247" t="str">
        <f>T("   170490")</f>
        <v xml:space="preserve">   170490</v>
      </c>
      <c r="B6247" t="str">
        <f>T("   Sucreries sans cacao, y.c. le chocolat blanc (à l'excl. des gommes à mâcher)")</f>
        <v xml:space="preserve">   Sucreries sans cacao, y.c. le chocolat blanc (à l'excl. des gommes à mâcher)</v>
      </c>
      <c r="C6247">
        <v>12419302</v>
      </c>
      <c r="D6247">
        <v>47443</v>
      </c>
    </row>
    <row r="6248" spans="1:4" x14ac:dyDescent="0.25">
      <c r="A6248" t="str">
        <f>T("   180610")</f>
        <v xml:space="preserve">   180610</v>
      </c>
      <c r="B6248" t="str">
        <f>T("   Poudre de cacao, additionnée de sucre ou d'autres édulcorants")</f>
        <v xml:space="preserve">   Poudre de cacao, additionnée de sucre ou d'autres édulcorants</v>
      </c>
      <c r="C6248">
        <v>27320522</v>
      </c>
      <c r="D6248">
        <v>72449</v>
      </c>
    </row>
    <row r="6249" spans="1:4" x14ac:dyDescent="0.25">
      <c r="A6249" t="str">
        <f>T("   180620")</f>
        <v xml:space="preserve">   180620</v>
      </c>
      <c r="B6249" t="s">
        <v>45</v>
      </c>
      <c r="C6249">
        <v>76840344</v>
      </c>
      <c r="D6249">
        <v>146676</v>
      </c>
    </row>
    <row r="6250" spans="1:4" x14ac:dyDescent="0.25">
      <c r="A6250" t="str">
        <f>T("   180632")</f>
        <v xml:space="preserve">   180632</v>
      </c>
      <c r="B6250" t="str">
        <f>T("   CHOCOLAT ET AUTRES PRÉPARATIONS ALIMENTAIRES CONTENANT DU CACAO, PRÉSENTÉS EN TABLETTES, BARRES OU BÂTONS, D'UN POIDS &lt;= 2 KG, NON-FOURRÉS")</f>
        <v xml:space="preserve">   CHOCOLAT ET AUTRES PRÉPARATIONS ALIMENTAIRES CONTENANT DU CACAO, PRÉSENTÉS EN TABLETTES, BARRES OU BÂTONS, D'UN POIDS &lt;= 2 KG, NON-FOURRÉS</v>
      </c>
      <c r="C6250">
        <v>16415234</v>
      </c>
      <c r="D6250">
        <v>36984</v>
      </c>
    </row>
    <row r="6251" spans="1:4" x14ac:dyDescent="0.25">
      <c r="A6251" t="str">
        <f>T("   190190")</f>
        <v xml:space="preserve">   190190</v>
      </c>
      <c r="B6251" t="s">
        <v>48</v>
      </c>
      <c r="C6251">
        <v>636095486</v>
      </c>
      <c r="D6251">
        <v>1632855</v>
      </c>
    </row>
    <row r="6252" spans="1:4" x14ac:dyDescent="0.25">
      <c r="A6252" t="str">
        <f>T("   190219")</f>
        <v xml:space="preserve">   190219</v>
      </c>
      <c r="B6252" t="str">
        <f>T("   PÂTES ALIMENTAIRES NON-CUITES NI FARCIES NI AUTREMENT PRÉPARÉES, NE CONTENANT PAS D'OEUFS")</f>
        <v xml:space="preserve">   PÂTES ALIMENTAIRES NON-CUITES NI FARCIES NI AUTREMENT PRÉPARÉES, NE CONTENANT PAS D'OEUFS</v>
      </c>
      <c r="C6252">
        <v>11680000</v>
      </c>
      <c r="D6252">
        <v>50942</v>
      </c>
    </row>
    <row r="6253" spans="1:4" x14ac:dyDescent="0.25">
      <c r="A6253" t="str">
        <f>T("   190230")</f>
        <v xml:space="preserve">   190230</v>
      </c>
      <c r="B6253" t="str">
        <f>T("   Pâtes alimentaires, cuites ou autrement préparées (à l'excl. des pâtes alimentaires farcies)")</f>
        <v xml:space="preserve">   Pâtes alimentaires, cuites ou autrement préparées (à l'excl. des pâtes alimentaires farcies)</v>
      </c>
      <c r="C6253">
        <v>474769970</v>
      </c>
      <c r="D6253">
        <v>1776365</v>
      </c>
    </row>
    <row r="6254" spans="1:4" x14ac:dyDescent="0.25">
      <c r="A6254" t="str">
        <f>T("   190410")</f>
        <v xml:space="preserve">   190410</v>
      </c>
      <c r="B6254" t="str">
        <f>T("   PRODUITS À BASE DE CÉRÉALES OBTENUS PAR SOUFFLAGE OU GRILLAGE [CORN FLAKES, P.EX.]")</f>
        <v xml:space="preserve">   PRODUITS À BASE DE CÉRÉALES OBTENUS PAR SOUFFLAGE OU GRILLAGE [CORN FLAKES, P.EX.]</v>
      </c>
      <c r="C6254">
        <v>198755</v>
      </c>
      <c r="D6254">
        <v>144</v>
      </c>
    </row>
    <row r="6255" spans="1:4" x14ac:dyDescent="0.25">
      <c r="A6255" t="str">
        <f>T("   200290")</f>
        <v xml:space="preserve">   200290</v>
      </c>
      <c r="B6255" t="str">
        <f>T("   Tomates, préparées ou conservées autrement qu'au vinaigre ou à l'acide acétique (à l'excl. des tomates entières ou en morceaux)")</f>
        <v xml:space="preserve">   Tomates, préparées ou conservées autrement qu'au vinaigre ou à l'acide acétique (à l'excl. des tomates entières ou en morceaux)</v>
      </c>
      <c r="C6255">
        <v>911513701</v>
      </c>
      <c r="D6255">
        <v>2757184</v>
      </c>
    </row>
    <row r="6256" spans="1:4" x14ac:dyDescent="0.25">
      <c r="A6256" t="str">
        <f>T("   210390")</f>
        <v xml:space="preserve">   210390</v>
      </c>
      <c r="B6256" t="str">
        <f>T("   Préparations pour sauces et sauces préparées; condiments et assaisonnements, composés (à l'excl. de la sauce de soja, du tomato ketchup et autres sauces tomates, de la farine de moutarde et de la moutarde préparée)")</f>
        <v xml:space="preserve">   Préparations pour sauces et sauces préparées; condiments et assaisonnements, composés (à l'excl. de la sauce de soja, du tomato ketchup et autres sauces tomates, de la farine de moutarde et de la moutarde préparée)</v>
      </c>
      <c r="C6256">
        <v>406673320</v>
      </c>
      <c r="D6256">
        <v>832631</v>
      </c>
    </row>
    <row r="6257" spans="1:4" x14ac:dyDescent="0.25">
      <c r="A6257" t="str">
        <f>T("   210410")</f>
        <v xml:space="preserve">   210410</v>
      </c>
      <c r="B6257" t="str">
        <f>T("   Préparations pour soupes, potages ou bouillons; soupes, potages ou bouillons préparés")</f>
        <v xml:space="preserve">   Préparations pour soupes, potages ou bouillons; soupes, potages ou bouillons préparés</v>
      </c>
      <c r="C6257">
        <v>1094662</v>
      </c>
      <c r="D6257">
        <v>1325</v>
      </c>
    </row>
    <row r="6258" spans="1:4" x14ac:dyDescent="0.25">
      <c r="A6258" t="str">
        <f>T("   210690")</f>
        <v xml:space="preserve">   210690</v>
      </c>
      <c r="B6258" t="str">
        <f>T("   Préparations alimentaires, n.d.a.")</f>
        <v xml:space="preserve">   Préparations alimentaires, n.d.a.</v>
      </c>
      <c r="C6258">
        <v>12127851</v>
      </c>
      <c r="D6258">
        <v>13346</v>
      </c>
    </row>
    <row r="6259" spans="1:4" x14ac:dyDescent="0.25">
      <c r="A6259" t="str">
        <f>T("   220290")</f>
        <v xml:space="preserve">   220290</v>
      </c>
      <c r="B6259" t="str">
        <f>T("   BOISSONS NON-ALCOOLIQUES (À L'EXCL. DES EAUX, DES JUS DE FRUITS OU DE LÉGUMES AINSI QUE DU LAIT)")</f>
        <v xml:space="preserve">   BOISSONS NON-ALCOOLIQUES (À L'EXCL. DES EAUX, DES JUS DE FRUITS OU DE LÉGUMES AINSI QUE DU LAIT)</v>
      </c>
      <c r="C6259">
        <v>17168653</v>
      </c>
      <c r="D6259">
        <v>23978</v>
      </c>
    </row>
    <row r="6260" spans="1:4" x14ac:dyDescent="0.25">
      <c r="A6260" t="str">
        <f>T("   220870")</f>
        <v xml:space="preserve">   220870</v>
      </c>
      <c r="B6260" t="str">
        <f>T("   LIQUEURS")</f>
        <v xml:space="preserve">   LIQUEURS</v>
      </c>
      <c r="C6260">
        <v>9000000</v>
      </c>
      <c r="D6260">
        <v>20285</v>
      </c>
    </row>
    <row r="6261" spans="1:4" x14ac:dyDescent="0.25">
      <c r="A6261" t="str">
        <f>T("   321590")</f>
        <v xml:space="preserve">   321590</v>
      </c>
      <c r="B6261" t="str">
        <f>T("   Encres à écrire et à dessiner, même concentrées ou sous formes solides")</f>
        <v xml:space="preserve">   Encres à écrire et à dessiner, même concentrées ou sous formes solides</v>
      </c>
      <c r="C6261">
        <v>500000</v>
      </c>
      <c r="D6261">
        <v>50</v>
      </c>
    </row>
    <row r="6262" spans="1:4" x14ac:dyDescent="0.25">
      <c r="A6262" t="str">
        <f>T("   330499")</f>
        <v xml:space="preserve">   330499</v>
      </c>
      <c r="B6262" t="s">
        <v>100</v>
      </c>
      <c r="C6262">
        <v>13592591</v>
      </c>
      <c r="D6262">
        <v>14952</v>
      </c>
    </row>
    <row r="6263" spans="1:4" x14ac:dyDescent="0.25">
      <c r="A6263" t="str">
        <f>T("   330610")</f>
        <v xml:space="preserve">   330610</v>
      </c>
      <c r="B6263" t="str">
        <f>T("   Dentifrices, préparés, même des types utilisés par les dentistes")</f>
        <v xml:space="preserve">   Dentifrices, préparés, même des types utilisés par les dentistes</v>
      </c>
      <c r="C6263">
        <v>262613</v>
      </c>
      <c r="D6263">
        <v>574</v>
      </c>
    </row>
    <row r="6264" spans="1:4" x14ac:dyDescent="0.25">
      <c r="A6264" t="str">
        <f>T("   330749")</f>
        <v xml:space="preserve">   330749</v>
      </c>
      <c r="B6264" t="str">
        <f>T("   Préparations pour parfumer ou pour désodoriser les locaux, y.c. les préparations odoriférantes pour cérémonies religieuses (à l'excl. de l'agarbatti et des autres préparations odoriférantes agissant par combustion)")</f>
        <v xml:space="preserve">   Préparations pour parfumer ou pour désodoriser les locaux, y.c. les préparations odoriférantes pour cérémonies religieuses (à l'excl. de l'agarbatti et des autres préparations odoriférantes agissant par combustion)</v>
      </c>
      <c r="C6264">
        <v>23416357</v>
      </c>
      <c r="D6264">
        <v>13681</v>
      </c>
    </row>
    <row r="6265" spans="1:4" x14ac:dyDescent="0.25">
      <c r="A6265" t="str">
        <f>T("   340111")</f>
        <v xml:space="preserve">   340111</v>
      </c>
      <c r="B6265" t="s">
        <v>101</v>
      </c>
      <c r="C6265">
        <v>79648348</v>
      </c>
      <c r="D6265">
        <v>192332</v>
      </c>
    </row>
    <row r="6266" spans="1:4" x14ac:dyDescent="0.25">
      <c r="A6266" t="str">
        <f>T("   340119")</f>
        <v xml:space="preserve">   340119</v>
      </c>
      <c r="B6266" t="s">
        <v>102</v>
      </c>
      <c r="C6266">
        <v>26814309</v>
      </c>
      <c r="D6266">
        <v>63530</v>
      </c>
    </row>
    <row r="6267" spans="1:4" x14ac:dyDescent="0.25">
      <c r="A6267" t="str">
        <f>T("   340290")</f>
        <v xml:space="preserve">   340290</v>
      </c>
      <c r="B6267" t="s">
        <v>104</v>
      </c>
      <c r="C6267">
        <v>5324366</v>
      </c>
      <c r="D6267">
        <v>12176</v>
      </c>
    </row>
    <row r="6268" spans="1:4" x14ac:dyDescent="0.25">
      <c r="A6268" t="str">
        <f>T("   340530")</f>
        <v xml:space="preserve">   340530</v>
      </c>
      <c r="B6268" t="s">
        <v>110</v>
      </c>
      <c r="C6268">
        <v>4170664</v>
      </c>
      <c r="D6268">
        <v>2320</v>
      </c>
    </row>
    <row r="6269" spans="1:4" x14ac:dyDescent="0.25">
      <c r="A6269" t="str">
        <f>T("   360500")</f>
        <v xml:space="preserve">   360500</v>
      </c>
      <c r="B6269" t="str">
        <f>T("   Allumettes (autres que les articles de pyrotechnie du n° 3604)")</f>
        <v xml:space="preserve">   Allumettes (autres que les articles de pyrotechnie du n° 3604)</v>
      </c>
      <c r="C6269">
        <v>80446805</v>
      </c>
      <c r="D6269">
        <v>185848</v>
      </c>
    </row>
    <row r="6270" spans="1:4" x14ac:dyDescent="0.25">
      <c r="A6270" t="str">
        <f>T("   380810")</f>
        <v xml:space="preserve">   380810</v>
      </c>
      <c r="B6270" t="str">
        <f>T("   Insecticides présentés dans des formes ou emballages de vente au détail ou à l'état de préparations ou sous forme d'articles")</f>
        <v xml:space="preserve">   Insecticides présentés dans des formes ou emballages de vente au détail ou à l'état de préparations ou sous forme d'articles</v>
      </c>
      <c r="C6270">
        <v>20532514</v>
      </c>
      <c r="D6270">
        <v>24652</v>
      </c>
    </row>
    <row r="6271" spans="1:4" x14ac:dyDescent="0.25">
      <c r="A6271" t="str">
        <f>T("   382200")</f>
        <v xml:space="preserve">   382200</v>
      </c>
      <c r="B6271" t="s">
        <v>125</v>
      </c>
      <c r="C6271">
        <v>2350603</v>
      </c>
      <c r="D6271">
        <v>102</v>
      </c>
    </row>
    <row r="6272" spans="1:4" x14ac:dyDescent="0.25">
      <c r="A6272" t="str">
        <f>T("   392329")</f>
        <v xml:space="preserve">   392329</v>
      </c>
      <c r="B6272" t="str">
        <f>T("   Sacs, sachets, pochettes et cornets, en matières plastiques (autres que les polymères de l'éthylène)")</f>
        <v xml:space="preserve">   Sacs, sachets, pochettes et cornets, en matières plastiques (autres que les polymères de l'éthylène)</v>
      </c>
      <c r="C6272">
        <v>618</v>
      </c>
      <c r="D6272">
        <v>6</v>
      </c>
    </row>
    <row r="6273" spans="1:4" x14ac:dyDescent="0.25">
      <c r="A6273" t="str">
        <f>T("   392410")</f>
        <v xml:space="preserve">   392410</v>
      </c>
      <c r="B6273" t="str">
        <f>T("   Vaisselle et autres articles pour le service de la table ou de la cuisine, en matières plastiques")</f>
        <v xml:space="preserve">   Vaisselle et autres articles pour le service de la table ou de la cuisine, en matières plastiques</v>
      </c>
      <c r="C6273">
        <v>4162685</v>
      </c>
      <c r="D6273">
        <v>4467</v>
      </c>
    </row>
    <row r="6274" spans="1:4" x14ac:dyDescent="0.25">
      <c r="A6274" t="str">
        <f>T("   392690")</f>
        <v xml:space="preserve">   392690</v>
      </c>
      <c r="B6274" t="str">
        <f>T("   Ouvrages en matières plastiques et ouvrages en autres matières du n° 3901 à 3914, n.d.a.")</f>
        <v xml:space="preserve">   Ouvrages en matières plastiques et ouvrages en autres matières du n° 3901 à 3914, n.d.a.</v>
      </c>
      <c r="C6274">
        <v>1778181</v>
      </c>
      <c r="D6274">
        <v>3714</v>
      </c>
    </row>
    <row r="6275" spans="1:4" x14ac:dyDescent="0.25">
      <c r="A6275" t="str">
        <f>T("   401120")</f>
        <v xml:space="preserve">   401120</v>
      </c>
      <c r="B6275" t="str">
        <f>T("   Pneumatiques neufs, en caoutchouc, des types utilisés pour les autobus ou les camions (à l'excl. des pneumatiques à crampons, à chevrons ou simil.)")</f>
        <v xml:space="preserve">   Pneumatiques neufs, en caoutchouc, des types utilisés pour les autobus ou les camions (à l'excl. des pneumatiques à crampons, à chevrons ou simil.)</v>
      </c>
      <c r="C6275">
        <v>16660072</v>
      </c>
      <c r="D6275">
        <v>15220</v>
      </c>
    </row>
    <row r="6276" spans="1:4" x14ac:dyDescent="0.25">
      <c r="A6276" t="str">
        <f>T("   401511")</f>
        <v xml:space="preserve">   401511</v>
      </c>
      <c r="B6276" t="str">
        <f>T("   Gants en caoutchouc vulcanisé non durci, pour la chirurgie")</f>
        <v xml:space="preserve">   Gants en caoutchouc vulcanisé non durci, pour la chirurgie</v>
      </c>
      <c r="C6276">
        <v>24188582</v>
      </c>
      <c r="D6276">
        <v>10500</v>
      </c>
    </row>
    <row r="6277" spans="1:4" x14ac:dyDescent="0.25">
      <c r="A6277" t="str">
        <f>T("   420212")</f>
        <v xml:space="preserve">   420212</v>
      </c>
      <c r="B6277" t="str">
        <f>T("   Malles, valises et mallettes, y.c. les mallettes de toilette et les mallettes porte-documents, serviettes, cartables et contenants simil., à surface extérieure en matières plastiques ou en matières textiles")</f>
        <v xml:space="preserve">   Malles, valises et mallettes, y.c. les mallettes de toilette et les mallettes porte-documents, serviettes, cartables et contenants simil., à surface extérieure en matières plastiques ou en matières textiles</v>
      </c>
      <c r="C6277">
        <v>7202908</v>
      </c>
      <c r="D6277">
        <v>2485</v>
      </c>
    </row>
    <row r="6278" spans="1:4" x14ac:dyDescent="0.25">
      <c r="A6278" t="str">
        <f>T("   420229")</f>
        <v xml:space="preserve">   420229</v>
      </c>
      <c r="B6278" t="str">
        <f>T("   Sacs à main, même à bandoulière, y.c. ceux sans poignée, à surface extérieure en fibre vulcanisée ou en carton, ou recouverts, en totalité ou en majeure partie, de ces mêmes matières ou de papier")</f>
        <v xml:space="preserve">   Sacs à main, même à bandoulière, y.c. ceux sans poignée, à surface extérieure en fibre vulcanisée ou en carton, ou recouverts, en totalité ou en majeure partie, de ces mêmes matières ou de papier</v>
      </c>
      <c r="C6278">
        <v>200000</v>
      </c>
      <c r="D6278">
        <v>115</v>
      </c>
    </row>
    <row r="6279" spans="1:4" x14ac:dyDescent="0.25">
      <c r="A6279" t="str">
        <f>T("   442010")</f>
        <v xml:space="preserve">   442010</v>
      </c>
      <c r="B6279" t="str">
        <f>T("   Statuettes et autres objets d'ornement, en bois (autres que marquetés ou incrustés)")</f>
        <v xml:space="preserve">   Statuettes et autres objets d'ornement, en bois (autres que marquetés ou incrustés)</v>
      </c>
      <c r="C6279">
        <v>688036</v>
      </c>
      <c r="D6279">
        <v>1370</v>
      </c>
    </row>
    <row r="6280" spans="1:4" x14ac:dyDescent="0.25">
      <c r="A6280" t="str">
        <f>T("   442110")</f>
        <v xml:space="preserve">   442110</v>
      </c>
      <c r="B6280" t="str">
        <f>T("   Cintres pour vêtements, en bois")</f>
        <v xml:space="preserve">   Cintres pour vêtements, en bois</v>
      </c>
      <c r="C6280">
        <v>946543</v>
      </c>
      <c r="D6280">
        <v>1877</v>
      </c>
    </row>
    <row r="6281" spans="1:4" x14ac:dyDescent="0.25">
      <c r="A6281" t="str">
        <f>T("   481910")</f>
        <v xml:space="preserve">   481910</v>
      </c>
      <c r="B6281" t="str">
        <f>T("   Boîtes et caisses en papier ou en carton ondulé")</f>
        <v xml:space="preserve">   Boîtes et caisses en papier ou en carton ondulé</v>
      </c>
      <c r="C6281">
        <v>22964</v>
      </c>
      <c r="D6281">
        <v>132</v>
      </c>
    </row>
    <row r="6282" spans="1:4" x14ac:dyDescent="0.25">
      <c r="A6282" t="str">
        <f>T("   482360")</f>
        <v xml:space="preserve">   482360</v>
      </c>
      <c r="B6282" t="str">
        <f>T("   Plateaux, plats, assiettes, tasses, gobelets et articles simil., en papier ou en carton")</f>
        <v xml:space="preserve">   Plateaux, plats, assiettes, tasses, gobelets et articles simil., en papier ou en carton</v>
      </c>
      <c r="C6282">
        <v>618</v>
      </c>
      <c r="D6282">
        <v>22</v>
      </c>
    </row>
    <row r="6283" spans="1:4" x14ac:dyDescent="0.25">
      <c r="A6283" t="str">
        <f>T("   490199")</f>
        <v xml:space="preserve">   490199</v>
      </c>
      <c r="B6283"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6283">
        <v>450000</v>
      </c>
      <c r="D6283">
        <v>293</v>
      </c>
    </row>
    <row r="6284" spans="1:4" x14ac:dyDescent="0.25">
      <c r="A6284" t="str">
        <f>T("   491000")</f>
        <v xml:space="preserve">   491000</v>
      </c>
      <c r="B6284" t="str">
        <f>T("   Calendriers de tous genres, imprimés, y.c. les blocs de calendriers à effeuiller")</f>
        <v xml:space="preserve">   Calendriers de tous genres, imprimés, y.c. les blocs de calendriers à effeuiller</v>
      </c>
      <c r="C6284">
        <v>40977</v>
      </c>
      <c r="D6284">
        <v>48</v>
      </c>
    </row>
    <row r="6285" spans="1:4" x14ac:dyDescent="0.25">
      <c r="A6285" t="str">
        <f>T("   520829")</f>
        <v xml:space="preserve">   520829</v>
      </c>
      <c r="B6285" t="str">
        <f>T("   Tissus de coton, blanchis, contenant &gt;= 85% en poids de coton, d'un poids &lt;= 200 g/m² (à l'excl. des tissus à armure toile ou à armure sergé [y.c. le croisé] d'un rapport d'armure &lt;= 4)")</f>
        <v xml:space="preserve">   Tissus de coton, blanchis, contenant &gt;= 85% en poids de coton, d'un poids &lt;= 200 g/m² (à l'excl. des tissus à armure toile ou à armure sergé [y.c. le croisé] d'un rapport d'armure &lt;= 4)</v>
      </c>
      <c r="C6285">
        <v>12000000</v>
      </c>
      <c r="D6285">
        <v>17950</v>
      </c>
    </row>
    <row r="6286" spans="1:4" x14ac:dyDescent="0.25">
      <c r="A6286" t="str">
        <f>T("   520852")</f>
        <v xml:space="preserve">   520852</v>
      </c>
      <c r="B6286" t="str">
        <f>T("   Tissus de coton, imprimés, à armure toile, contenant &gt;= 85% en poids de coton, d'un poids &gt; 100 g/m² mais &lt;= 200 g/m²")</f>
        <v xml:space="preserve">   Tissus de coton, imprimés, à armure toile, contenant &gt;= 85% en poids de coton, d'un poids &gt; 100 g/m² mais &lt;= 200 g/m²</v>
      </c>
      <c r="C6286">
        <v>275020652</v>
      </c>
      <c r="D6286">
        <v>292318</v>
      </c>
    </row>
    <row r="6287" spans="1:4" x14ac:dyDescent="0.25">
      <c r="A6287" t="str">
        <f>T("   520859")</f>
        <v xml:space="preserve">   520859</v>
      </c>
      <c r="B6287" t="str">
        <f>T("   TISSUS DE COTON, IMPRIMÉS, CONTENANT &gt;= 85% EN POIDS DE COTON, D'UN POIDS &lt;= 200 G/M² (À L'EXCL. DES TISSUS À ARMURE TOILE)")</f>
        <v xml:space="preserve">   TISSUS DE COTON, IMPRIMÉS, CONTENANT &gt;= 85% EN POIDS DE COTON, D'UN POIDS &lt;= 200 G/M² (À L'EXCL. DES TISSUS À ARMURE TOILE)</v>
      </c>
      <c r="C6287">
        <v>17000000</v>
      </c>
      <c r="D6287">
        <v>19800</v>
      </c>
    </row>
    <row r="6288" spans="1:4" x14ac:dyDescent="0.25">
      <c r="A6288" t="str">
        <f>T("   540794")</f>
        <v xml:space="preserve">   540794</v>
      </c>
      <c r="B6288" t="s">
        <v>228</v>
      </c>
      <c r="C6288">
        <v>34000476</v>
      </c>
      <c r="D6288">
        <v>36950</v>
      </c>
    </row>
    <row r="6289" spans="1:4" x14ac:dyDescent="0.25">
      <c r="A6289" t="str">
        <f>T("   550911")</f>
        <v xml:space="preserve">   550911</v>
      </c>
      <c r="B6289" t="str">
        <f>T("   Fils simples, contenant &gt;= 85% en poids de fibres discontinues de nylon ou d'autres polyamides, non conditionnés pour la vente au détail (à l'excl. des fils à coudre)")</f>
        <v xml:space="preserve">   Fils simples, contenant &gt;= 85% en poids de fibres discontinues de nylon ou d'autres polyamides, non conditionnés pour la vente au détail (à l'excl. des fils à coudre)</v>
      </c>
      <c r="C6289">
        <v>34000008</v>
      </c>
      <c r="D6289">
        <v>37000</v>
      </c>
    </row>
    <row r="6290" spans="1:4" x14ac:dyDescent="0.25">
      <c r="A6290" t="str">
        <f>T("   551219")</f>
        <v xml:space="preserve">   551219</v>
      </c>
      <c r="B6290" t="str">
        <f>T("   Tissus, teints, imprimés ou en fils de diverses couleurs, de fibres discontinues de polyester, contenant &gt;= 85% en poids de ces fibres")</f>
        <v xml:space="preserve">   Tissus, teints, imprimés ou en fils de diverses couleurs, de fibres discontinues de polyester, contenant &gt;= 85% en poids de ces fibres</v>
      </c>
      <c r="C6290">
        <v>6554129</v>
      </c>
      <c r="D6290">
        <v>18450</v>
      </c>
    </row>
    <row r="6291" spans="1:4" x14ac:dyDescent="0.25">
      <c r="A6291" t="str">
        <f>T("   551299")</f>
        <v xml:space="preserve">   551299</v>
      </c>
      <c r="B6291" t="str">
        <f>T("   Tissus, teints, imprimés ou en fils de diverses couleurs, de fibres synthétiques discontinues, contenant &gt;= 85% en poids de ces fibres (à l'excl. des tissus de fibres discontinues acryliques ou modacryliques ou de fibres discontinues de polyester)")</f>
        <v xml:space="preserve">   Tissus, teints, imprimés ou en fils de diverses couleurs, de fibres synthétiques discontinues, contenant &gt;= 85% en poids de ces fibres (à l'excl. des tissus de fibres discontinues acryliques ou modacryliques ou de fibres discontinues de polyester)</v>
      </c>
      <c r="C6291">
        <v>34000000</v>
      </c>
      <c r="D6291">
        <v>36900</v>
      </c>
    </row>
    <row r="6292" spans="1:4" x14ac:dyDescent="0.25">
      <c r="A6292" t="str">
        <f>T("   610990")</f>
        <v xml:space="preserve">   610990</v>
      </c>
      <c r="B6292" t="str">
        <f>T("   T-shirts et maillots de corps, en bonneterie, de matières textiles (sauf de coton)")</f>
        <v xml:space="preserve">   T-shirts et maillots de corps, en bonneterie, de matières textiles (sauf de coton)</v>
      </c>
      <c r="C6292">
        <v>6219495</v>
      </c>
      <c r="D6292">
        <v>18762</v>
      </c>
    </row>
    <row r="6293" spans="1:4" x14ac:dyDescent="0.25">
      <c r="A6293" t="str">
        <f>T("   611220")</f>
        <v xml:space="preserve">   611220</v>
      </c>
      <c r="B6293" t="str">
        <f>T("   Combinaisons et ensembles de ski, en bonneterie")</f>
        <v xml:space="preserve">   Combinaisons et ensembles de ski, en bonneterie</v>
      </c>
      <c r="C6293">
        <v>100000</v>
      </c>
      <c r="D6293">
        <v>50.4</v>
      </c>
    </row>
    <row r="6294" spans="1:4" x14ac:dyDescent="0.25">
      <c r="A6294" t="str">
        <f>T("   620342")</f>
        <v xml:space="preserve">   620342</v>
      </c>
      <c r="B6294" t="str">
        <f>T("   Pantalons, y.c. knickers et pantalons simil., salopettes à bretelles, culottes et shorts, de coton, pour hommes ou garçonnets (autres qu'en bonneterie et sauf slips et caleçons ainsi que maillots, culottes et slips de bain)")</f>
        <v xml:space="preserve">   Pantalons, y.c. knickers et pantalons simil., salopettes à bretelles, culottes et shorts, de coton, pour hommes ou garçonnets (autres qu'en bonneterie et sauf slips et caleçons ainsi que maillots, culottes et slips de bain)</v>
      </c>
      <c r="C6294">
        <v>13654005</v>
      </c>
      <c r="D6294">
        <v>25319</v>
      </c>
    </row>
    <row r="6295" spans="1:4" x14ac:dyDescent="0.25">
      <c r="A6295" t="str">
        <f>T("   620463")</f>
        <v xml:space="preserve">   620463</v>
      </c>
      <c r="B6295" t="str">
        <f>T("   Pantalons, y.c. knickers et pantalons simil., salopettes à bretelles, culottes et shorts, de fibres synthétiques, pour femmes ou fillettes (autres qu'en bonneterie et sauf slips et vêtements pour le bain)")</f>
        <v xml:space="preserve">   Pantalons, y.c. knickers et pantalons simil., salopettes à bretelles, culottes et shorts, de fibres synthétiques, pour femmes ou fillettes (autres qu'en bonneterie et sauf slips et vêtements pour le bain)</v>
      </c>
      <c r="C6295">
        <v>644726</v>
      </c>
      <c r="D6295">
        <v>774</v>
      </c>
    </row>
    <row r="6296" spans="1:4" x14ac:dyDescent="0.25">
      <c r="A6296" t="str">
        <f>T("   620590")</f>
        <v xml:space="preserve">   620590</v>
      </c>
      <c r="B6296"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6296">
        <v>21200000</v>
      </c>
      <c r="D6296">
        <v>25100</v>
      </c>
    </row>
    <row r="6297" spans="1:4" x14ac:dyDescent="0.25">
      <c r="A6297" t="str">
        <f>T("   630533")</f>
        <v xml:space="preserve">   630533</v>
      </c>
      <c r="B6297" t="str">
        <f>T("   Sacs et sachets d'emballage obtenus à partir de lames ou formes simil., de polyéthylène ou polypropylène (à l'excl. des contenants souples pour matières en vrac)")</f>
        <v xml:space="preserve">   Sacs et sachets d'emballage obtenus à partir de lames ou formes simil., de polyéthylène ou polypropylène (à l'excl. des contenants souples pour matières en vrac)</v>
      </c>
      <c r="C6297">
        <v>80000</v>
      </c>
      <c r="D6297">
        <v>112</v>
      </c>
    </row>
    <row r="6298" spans="1:4" x14ac:dyDescent="0.25">
      <c r="A6298" t="str">
        <f>T("   630590")</f>
        <v xml:space="preserve">   630590</v>
      </c>
      <c r="B6298" t="str">
        <f>T("   Sacs et sachets d'emballage de matières textiles (autres qu'en matières textiles synthétiques ou artificielles, coton, jute ou autres fibres textiles libérienne du n° 5303)")</f>
        <v xml:space="preserve">   Sacs et sachets d'emballage de matières textiles (autres qu'en matières textiles synthétiques ou artificielles, coton, jute ou autres fibres textiles libérienne du n° 5303)</v>
      </c>
      <c r="C6298">
        <v>80462</v>
      </c>
      <c r="D6298">
        <v>100</v>
      </c>
    </row>
    <row r="6299" spans="1:4" x14ac:dyDescent="0.25">
      <c r="A6299" t="str">
        <f>T("   630710")</f>
        <v xml:space="preserve">   630710</v>
      </c>
      <c r="B6299" t="str">
        <f>T("   Serpillières ou wassingues, lavettes, chamoisettes et articles d'entretien simil. en tous types de matières textiles")</f>
        <v xml:space="preserve">   Serpillières ou wassingues, lavettes, chamoisettes et articles d'entretien simil. en tous types de matières textiles</v>
      </c>
      <c r="C6299">
        <v>997958</v>
      </c>
      <c r="D6299">
        <v>1957</v>
      </c>
    </row>
    <row r="6300" spans="1:4" x14ac:dyDescent="0.25">
      <c r="A6300" t="str">
        <f>T("   640299")</f>
        <v xml:space="preserve">   640299</v>
      </c>
      <c r="B6300" t="s">
        <v>285</v>
      </c>
      <c r="C6300">
        <v>220000</v>
      </c>
      <c r="D6300">
        <v>250</v>
      </c>
    </row>
    <row r="6301" spans="1:4" x14ac:dyDescent="0.25">
      <c r="A6301" t="str">
        <f>T("   650400")</f>
        <v xml:space="preserve">   650400</v>
      </c>
      <c r="B6301" t="str">
        <f>T("   Chapeaux et autres coiffures, tressés ou fabriqués par l'assemblage de bandes en toutes matières, même garnis (sauf coiffures pour animaux ou ayant le caractère de jouets ou d'articles de carnaval)")</f>
        <v xml:space="preserve">   Chapeaux et autres coiffures, tressés ou fabriqués par l'assemblage de bandes en toutes matières, même garnis (sauf coiffures pour animaux ou ayant le caractère de jouets ou d'articles de carnaval)</v>
      </c>
      <c r="C6301">
        <v>38675</v>
      </c>
      <c r="D6301">
        <v>5</v>
      </c>
    </row>
    <row r="6302" spans="1:4" x14ac:dyDescent="0.25">
      <c r="A6302" t="str">
        <f>T("   690890")</f>
        <v xml:space="preserve">   690890</v>
      </c>
      <c r="B6302" t="s">
        <v>311</v>
      </c>
      <c r="C6302">
        <v>1953351</v>
      </c>
      <c r="D6302">
        <v>19132</v>
      </c>
    </row>
    <row r="6303" spans="1:4" x14ac:dyDescent="0.25">
      <c r="A6303" t="str">
        <f>T("   701190")</f>
        <v xml:space="preserve">   701190</v>
      </c>
      <c r="B6303" t="str">
        <f>T("   Ampoules en verre, ouvertes, et enveloppes tubulaires en verre, ouvertes, et leurs parties en verre, sans garnitures, destinées à des lampes électriques ou simil. (autres que pour l'éclairage électrique ou pour tubes cathodique)")</f>
        <v xml:space="preserve">   Ampoules en verre, ouvertes, et enveloppes tubulaires en verre, ouvertes, et leurs parties en verre, sans garnitures, destinées à des lampes électriques ou simil. (autres que pour l'éclairage électrique ou pour tubes cathodique)</v>
      </c>
      <c r="C6303">
        <v>100000</v>
      </c>
      <c r="D6303">
        <v>20</v>
      </c>
    </row>
    <row r="6304" spans="1:4" x14ac:dyDescent="0.25">
      <c r="A6304" t="str">
        <f>T("   701329")</f>
        <v xml:space="preserve">   701329</v>
      </c>
      <c r="B6304" t="str">
        <f>T("   Verres à boire (autres qu'en vitrocérame, autres qu'en cristal au plomb)")</f>
        <v xml:space="preserve">   Verres à boire (autres qu'en vitrocérame, autres qu'en cristal au plomb)</v>
      </c>
      <c r="C6304">
        <v>19884329</v>
      </c>
      <c r="D6304">
        <v>20353</v>
      </c>
    </row>
    <row r="6305" spans="1:4" x14ac:dyDescent="0.25">
      <c r="A6305" t="str">
        <f>T("   711790")</f>
        <v xml:space="preserve">   711790</v>
      </c>
      <c r="B6305" t="str">
        <f>T("   Bijouterie de fantaisie (autre qu'en métaux communs, même argentés, dorés ou platinés)")</f>
        <v xml:space="preserve">   Bijouterie de fantaisie (autre qu'en métaux communs, même argentés, dorés ou platinés)</v>
      </c>
      <c r="C6305">
        <v>5878384</v>
      </c>
      <c r="D6305">
        <v>3211</v>
      </c>
    </row>
    <row r="6306" spans="1:4" x14ac:dyDescent="0.25">
      <c r="A6306" t="str">
        <f>T("   732394")</f>
        <v xml:space="preserve">   732394</v>
      </c>
      <c r="B6306" t="s">
        <v>361</v>
      </c>
      <c r="C6306">
        <v>850000</v>
      </c>
      <c r="D6306">
        <v>850</v>
      </c>
    </row>
    <row r="6307" spans="1:4" x14ac:dyDescent="0.25">
      <c r="A6307" t="str">
        <f>T("   760421")</f>
        <v xml:space="preserve">   760421</v>
      </c>
      <c r="B6307" t="str">
        <f>T("   Profilés creux en alliages d'aluminium, n.d.a.")</f>
        <v xml:space="preserve">   Profilés creux en alliages d'aluminium, n.d.a.</v>
      </c>
      <c r="C6307">
        <v>13741000</v>
      </c>
      <c r="D6307">
        <v>27933</v>
      </c>
    </row>
    <row r="6308" spans="1:4" x14ac:dyDescent="0.25">
      <c r="A6308" t="str">
        <f>T("   760429")</f>
        <v xml:space="preserve">   760429</v>
      </c>
      <c r="B6308" t="str">
        <f>T("   Barres et profilés pleins en alliages d'aluminium, n.d.a.")</f>
        <v xml:space="preserve">   Barres et profilés pleins en alliages d'aluminium, n.d.a.</v>
      </c>
      <c r="C6308">
        <v>133207257</v>
      </c>
      <c r="D6308">
        <v>158477</v>
      </c>
    </row>
    <row r="6309" spans="1:4" x14ac:dyDescent="0.25">
      <c r="A6309" t="str">
        <f>T("   830140")</f>
        <v xml:space="preserve">   830140</v>
      </c>
      <c r="B6309" t="str">
        <f>T("   Serrures et verrous, en métaux communs (autres que cadenas et serrures des types utilisés pour véhicules automobiles ou meubles)")</f>
        <v xml:space="preserve">   Serrures et verrous, en métaux communs (autres que cadenas et serrures des types utilisés pour véhicules automobiles ou meubles)</v>
      </c>
      <c r="C6309">
        <v>104420</v>
      </c>
      <c r="D6309">
        <v>20</v>
      </c>
    </row>
    <row r="6310" spans="1:4" x14ac:dyDescent="0.25">
      <c r="A6310" t="str">
        <f>T("   841451")</f>
        <v xml:space="preserve">   841451</v>
      </c>
      <c r="B6310" t="str">
        <f>T("   Ventilateurs de table, de sol, muraux, plafonniers, de toitures ou de fenêtres, à moteur électrique incorporé, d'une puissance &lt;= 125 W")</f>
        <v xml:space="preserve">   Ventilateurs de table, de sol, muraux, plafonniers, de toitures ou de fenêtres, à moteur électrique incorporé, d'une puissance &lt;= 125 W</v>
      </c>
      <c r="C6310">
        <v>30588033</v>
      </c>
      <c r="D6310">
        <v>81407</v>
      </c>
    </row>
    <row r="6311" spans="1:4" x14ac:dyDescent="0.25">
      <c r="A6311" t="str">
        <f>T("   841829")</f>
        <v xml:space="preserve">   841829</v>
      </c>
      <c r="B6311" t="str">
        <f>T("   Réfrigérateurs ménagers à absorption, non-électriques")</f>
        <v xml:space="preserve">   Réfrigérateurs ménagers à absorption, non-électriques</v>
      </c>
      <c r="C6311">
        <v>583214</v>
      </c>
      <c r="D6311">
        <v>1930</v>
      </c>
    </row>
    <row r="6312" spans="1:4" x14ac:dyDescent="0.25">
      <c r="A6312" t="str">
        <f>T("   842129")</f>
        <v xml:space="preserve">   842129</v>
      </c>
      <c r="B6312" t="str">
        <f>T("   Appareils pour la filtration ou l'épuration des liquides (à l'excl. de l'eau ou des boissons, des huiles minérales et carburants pour les moteurs à allumage par étincelles ou par compression ainsi que les reins artificiels)")</f>
        <v xml:space="preserve">   Appareils pour la filtration ou l'épuration des liquides (à l'excl. de l'eau ou des boissons, des huiles minérales et carburants pour les moteurs à allumage par étincelles ou par compression ainsi que les reins artificiels)</v>
      </c>
      <c r="C6312">
        <v>2331817</v>
      </c>
      <c r="D6312">
        <v>160</v>
      </c>
    </row>
    <row r="6313" spans="1:4" x14ac:dyDescent="0.25">
      <c r="A6313" t="str">
        <f>T("   847190")</f>
        <v xml:space="preserve">   847190</v>
      </c>
      <c r="B6313"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6313">
        <v>6882344</v>
      </c>
      <c r="D6313">
        <v>31.97</v>
      </c>
    </row>
    <row r="6314" spans="1:4" x14ac:dyDescent="0.25">
      <c r="A6314" t="str">
        <f>T("   847330")</f>
        <v xml:space="preserve">   847330</v>
      </c>
      <c r="B6314" t="str">
        <f>T("   Parties et accessoires pour machines automatiques de traitement de l'information ou pour autres machines du n° 8471, n.d.a.")</f>
        <v xml:space="preserve">   Parties et accessoires pour machines automatiques de traitement de l'information ou pour autres machines du n° 8471, n.d.a.</v>
      </c>
      <c r="C6314">
        <v>239785</v>
      </c>
      <c r="D6314">
        <v>372</v>
      </c>
    </row>
    <row r="6315" spans="1:4" x14ac:dyDescent="0.25">
      <c r="A6315" t="str">
        <f>T("   847960")</f>
        <v xml:space="preserve">   847960</v>
      </c>
      <c r="B6315" t="str">
        <f>T("   Appareils mécaniques à évaporation pour le rafraîchissement de l'air, n.d.a.")</f>
        <v xml:space="preserve">   Appareils mécaniques à évaporation pour le rafraîchissement de l'air, n.d.a.</v>
      </c>
      <c r="C6315">
        <v>287131</v>
      </c>
      <c r="D6315">
        <v>520</v>
      </c>
    </row>
    <row r="6316" spans="1:4" x14ac:dyDescent="0.25">
      <c r="A6316" t="str">
        <f>T("   850432")</f>
        <v xml:space="preserve">   850432</v>
      </c>
      <c r="B6316" t="str">
        <f>T("   Transformateurs à sec, puissance &gt; 1 kVA mais &lt;= 16 kVA")</f>
        <v xml:space="preserve">   Transformateurs à sec, puissance &gt; 1 kVA mais &lt;= 16 kVA</v>
      </c>
      <c r="C6316">
        <v>3410812</v>
      </c>
      <c r="D6316">
        <v>1006</v>
      </c>
    </row>
    <row r="6317" spans="1:4" x14ac:dyDescent="0.25">
      <c r="A6317" t="str">
        <f>T("   850440")</f>
        <v xml:space="preserve">   850440</v>
      </c>
      <c r="B6317" t="str">
        <f>T("   CONVERTISSEURS STATIQUES")</f>
        <v xml:space="preserve">   CONVERTISSEURS STATIQUES</v>
      </c>
      <c r="C6317">
        <v>19281407</v>
      </c>
      <c r="D6317">
        <v>4312</v>
      </c>
    </row>
    <row r="6318" spans="1:4" x14ac:dyDescent="0.25">
      <c r="A6318" t="str">
        <f>T("   850680")</f>
        <v xml:space="preserve">   850680</v>
      </c>
      <c r="B6318" t="str">
        <f>T("   Piles et batteries de piles électriques (sauf hors d'usage et autres que piles et batteries à l'oxyde d'argent, de mercure, au bioxyde de manganèse, au lithium et à l'air-zinc)")</f>
        <v xml:space="preserve">   Piles et batteries de piles électriques (sauf hors d'usage et autres que piles et batteries à l'oxyde d'argent, de mercure, au bioxyde de manganèse, au lithium et à l'air-zinc)</v>
      </c>
      <c r="C6318">
        <v>12604709</v>
      </c>
      <c r="D6318">
        <v>54000</v>
      </c>
    </row>
    <row r="6319" spans="1:4" x14ac:dyDescent="0.25">
      <c r="A6319" t="str">
        <f>T("   850940")</f>
        <v xml:space="preserve">   850940</v>
      </c>
      <c r="B6319" t="str">
        <f>T("   Broyeurs et mélangeurs pour aliments; presse-fruits et presse-légumes à moteur électrique incorporé, à usage domestique")</f>
        <v xml:space="preserve">   Broyeurs et mélangeurs pour aliments; presse-fruits et presse-légumes à moteur électrique incorporé, à usage domestique</v>
      </c>
      <c r="C6319">
        <v>374022</v>
      </c>
      <c r="D6319">
        <v>103</v>
      </c>
    </row>
    <row r="6320" spans="1:4" x14ac:dyDescent="0.25">
      <c r="A6320" t="str">
        <f>T("   851750")</f>
        <v xml:space="preserve">   851750</v>
      </c>
      <c r="B6320" t="s">
        <v>452</v>
      </c>
      <c r="C6320">
        <v>277786</v>
      </c>
      <c r="D6320">
        <v>2</v>
      </c>
    </row>
    <row r="6321" spans="1:4" x14ac:dyDescent="0.25">
      <c r="A6321" t="str">
        <f>T("   851780")</f>
        <v xml:space="preserve">   851780</v>
      </c>
      <c r="B6321" t="s">
        <v>453</v>
      </c>
      <c r="C6321">
        <v>2352979</v>
      </c>
      <c r="D6321">
        <v>692</v>
      </c>
    </row>
    <row r="6322" spans="1:4" x14ac:dyDescent="0.25">
      <c r="A6322" t="str">
        <f>T("   851790")</f>
        <v xml:space="preserve">   851790</v>
      </c>
      <c r="B6322" t="s">
        <v>454</v>
      </c>
      <c r="C6322">
        <v>28372458</v>
      </c>
      <c r="D6322">
        <v>1477.7</v>
      </c>
    </row>
    <row r="6323" spans="1:4" x14ac:dyDescent="0.25">
      <c r="A6323" t="str">
        <f>T("   851810")</f>
        <v xml:space="preserve">   851810</v>
      </c>
      <c r="B6323" t="str">
        <f>T("   Microphones et leurs supports (autres que sans fil, avec émetteur incorporé)")</f>
        <v xml:space="preserve">   Microphones et leurs supports (autres que sans fil, avec émetteur incorporé)</v>
      </c>
      <c r="C6323">
        <v>200000</v>
      </c>
      <c r="D6323">
        <v>150</v>
      </c>
    </row>
    <row r="6324" spans="1:4" x14ac:dyDescent="0.25">
      <c r="A6324" t="str">
        <f>T("   853120")</f>
        <v xml:space="preserve">   853120</v>
      </c>
      <c r="B6324" t="str">
        <f>T("   Panneaux indicateurs avec dispositifs à cristaux liquides [LCD] ou à diodes émettrices de lumière [LED] (autres que pour les véhicules automobiles, les bicyclettes ou les voies de communication)")</f>
        <v xml:space="preserve">   Panneaux indicateurs avec dispositifs à cristaux liquides [LCD] ou à diodes émettrices de lumière [LED] (autres que pour les véhicules automobiles, les bicyclettes ou les voies de communication)</v>
      </c>
      <c r="C6324">
        <v>300000</v>
      </c>
      <c r="D6324">
        <v>250</v>
      </c>
    </row>
    <row r="6325" spans="1:4" x14ac:dyDescent="0.25">
      <c r="A6325" t="str">
        <f>T("   853620")</f>
        <v xml:space="preserve">   853620</v>
      </c>
      <c r="B6325" t="str">
        <f>T("   Disjoncteurs, pour une tension &lt;= 1.000 V")</f>
        <v xml:space="preserve">   Disjoncteurs, pour une tension &lt;= 1.000 V</v>
      </c>
      <c r="C6325">
        <v>791196</v>
      </c>
      <c r="D6325">
        <v>1696</v>
      </c>
    </row>
    <row r="6326" spans="1:4" x14ac:dyDescent="0.25">
      <c r="A6326" t="str">
        <f>T("   853650")</f>
        <v xml:space="preserve">   853650</v>
      </c>
      <c r="B6326" t="str">
        <f>T("   Interrupteurs, sectionneurs et commutateurs, pour une tension &lt;= 1.000 V (autres que relais et disjoncteurs)")</f>
        <v xml:space="preserve">   Interrupteurs, sectionneurs et commutateurs, pour une tension &lt;= 1.000 V (autres que relais et disjoncteurs)</v>
      </c>
      <c r="C6326">
        <v>741041</v>
      </c>
      <c r="D6326">
        <v>1671</v>
      </c>
    </row>
    <row r="6327" spans="1:4" x14ac:dyDescent="0.25">
      <c r="A6327" t="str">
        <f>T("   853669")</f>
        <v xml:space="preserve">   853669</v>
      </c>
      <c r="B6327" t="str">
        <f>T("   Fiches et prises de courant, pour une tension &lt;= 1.000 V (sauf douilles pour lampes)")</f>
        <v xml:space="preserve">   Fiches et prises de courant, pour une tension &lt;= 1.000 V (sauf douilles pour lampes)</v>
      </c>
      <c r="C6327">
        <v>1931864</v>
      </c>
      <c r="D6327">
        <v>3427</v>
      </c>
    </row>
    <row r="6328" spans="1:4" x14ac:dyDescent="0.25">
      <c r="A6328" t="str">
        <f>T("   853690")</f>
        <v xml:space="preserve">   853690</v>
      </c>
      <c r="B6328" t="s">
        <v>469</v>
      </c>
      <c r="C6328">
        <v>201952</v>
      </c>
      <c r="D6328">
        <v>110</v>
      </c>
    </row>
    <row r="6329" spans="1:4" x14ac:dyDescent="0.25">
      <c r="A6329" t="str">
        <f>T("   853710")</f>
        <v xml:space="preserve">   853710</v>
      </c>
      <c r="B6329" t="str">
        <f>T("   Tableaux, armoires et combinaisons d'appareils simil., pour la commande ou la distribution électrique, pour une tension &gt;= 1.000 V")</f>
        <v xml:space="preserve">   Tableaux, armoires et combinaisons d'appareils simil., pour la commande ou la distribution électrique, pour une tension &gt;= 1.000 V</v>
      </c>
      <c r="C6329">
        <v>884009</v>
      </c>
      <c r="D6329">
        <v>1383</v>
      </c>
    </row>
    <row r="6330" spans="1:4" x14ac:dyDescent="0.25">
      <c r="A6330" t="str">
        <f>T("   853929")</f>
        <v xml:space="preserve">   853929</v>
      </c>
      <c r="B6330" t="str">
        <f>T("   Lampes et tubes à incandescence électriques (autres que lampes et tubes halogènes, au tungstène, lampes d'une puissance &lt;= 200 W et pour une tension &gt; 100 V, et lampes à rayons ultraviolets ou infrarouges)")</f>
        <v xml:space="preserve">   Lampes et tubes à incandescence électriques (autres que lampes et tubes halogènes, au tungstène, lampes d'une puissance &lt;= 200 W et pour une tension &gt; 100 V, et lampes à rayons ultraviolets ou infrarouges)</v>
      </c>
      <c r="C6330">
        <v>544184</v>
      </c>
      <c r="D6330">
        <v>177</v>
      </c>
    </row>
    <row r="6331" spans="1:4" x14ac:dyDescent="0.25">
      <c r="A6331" t="str">
        <f>T("   853939")</f>
        <v xml:space="preserve">   853939</v>
      </c>
      <c r="B6331" t="str">
        <f>T("   Lampes et tubes à décharge (autres que fluorescents, à cathode chaude, à vapeur de mercure ou de sodium, à halogénure métallique et qu'à rayons ultraviolets)")</f>
        <v xml:space="preserve">   Lampes et tubes à décharge (autres que fluorescents, à cathode chaude, à vapeur de mercure ou de sodium, à halogénure métallique et qu'à rayons ultraviolets)</v>
      </c>
      <c r="C6331">
        <v>690483</v>
      </c>
      <c r="D6331">
        <v>1559</v>
      </c>
    </row>
    <row r="6332" spans="1:4" x14ac:dyDescent="0.25">
      <c r="A6332" t="str">
        <f>T("   870421")</f>
        <v xml:space="preserve">   870421</v>
      </c>
      <c r="B6332" t="s">
        <v>481</v>
      </c>
      <c r="C6332">
        <v>2789501</v>
      </c>
      <c r="D6332">
        <v>1000</v>
      </c>
    </row>
    <row r="6333" spans="1:4" x14ac:dyDescent="0.25">
      <c r="A6333" t="str">
        <f>T("   871110")</f>
        <v xml:space="preserve">   871110</v>
      </c>
      <c r="B6333" t="str">
        <f>T("   Cyclomoteurs, à moteur à piston alternatif, cylindrée &lt;= 50 cm³, y.c. cycles à moteur auxiliaire")</f>
        <v xml:space="preserve">   Cyclomoteurs, à moteur à piston alternatif, cylindrée &lt;= 50 cm³, y.c. cycles à moteur auxiliaire</v>
      </c>
      <c r="C6333">
        <v>31971</v>
      </c>
      <c r="D6333">
        <v>1000</v>
      </c>
    </row>
    <row r="6334" spans="1:4" x14ac:dyDescent="0.25">
      <c r="A6334" t="str">
        <f>T("   900719")</f>
        <v xml:space="preserve">   900719</v>
      </c>
      <c r="B6334" t="str">
        <f>T("   Caméras cinématographiques, pour films d'une largeur &gt;= 16 mm (à l'excl. des films double-8 mm)")</f>
        <v xml:space="preserve">   Caméras cinématographiques, pour films d'une largeur &gt;= 16 mm (à l'excl. des films double-8 mm)</v>
      </c>
      <c r="C6334">
        <v>1313889</v>
      </c>
      <c r="D6334">
        <v>411</v>
      </c>
    </row>
    <row r="6335" spans="1:4" x14ac:dyDescent="0.25">
      <c r="A6335" t="str">
        <f>T("   901812")</f>
        <v xml:space="preserve">   901812</v>
      </c>
      <c r="B6335" t="str">
        <f>T("   Appareils de diagnostic par balayage ultrasonique [scanners]")</f>
        <v xml:space="preserve">   Appareils de diagnostic par balayage ultrasonique [scanners]</v>
      </c>
      <c r="C6335">
        <v>6650738</v>
      </c>
      <c r="D6335">
        <v>744</v>
      </c>
    </row>
    <row r="6336" spans="1:4" x14ac:dyDescent="0.25">
      <c r="A6336" t="str">
        <f>T("   901890")</f>
        <v xml:space="preserve">   901890</v>
      </c>
      <c r="B6336" t="str">
        <f>T("   Instruments et appareils pour la médecine, la chirurgie ou l'art vétérinaire, n.d.a.")</f>
        <v xml:space="preserve">   Instruments et appareils pour la médecine, la chirurgie ou l'art vétérinaire, n.d.a.</v>
      </c>
      <c r="C6336">
        <v>2847558</v>
      </c>
      <c r="D6336">
        <v>437</v>
      </c>
    </row>
    <row r="6337" spans="1:4" x14ac:dyDescent="0.25">
      <c r="A6337" t="str">
        <f>T("   902214")</f>
        <v xml:space="preserve">   902214</v>
      </c>
      <c r="B6337" t="str">
        <f>T("   Appareils à rayons X pour usages médicaux, chirurgicaux ou vétérinaires (à l'excl. des appareils pour l'art dentaire et des appareils de tomographie pilotés par une machine automatique de traitement de l'information)")</f>
        <v xml:space="preserve">   Appareils à rayons X pour usages médicaux, chirurgicaux ou vétérinaires (à l'excl. des appareils pour l'art dentaire et des appareils de tomographie pilotés par une machine automatique de traitement de l'information)</v>
      </c>
      <c r="C6337">
        <v>745998</v>
      </c>
      <c r="D6337">
        <v>68</v>
      </c>
    </row>
    <row r="6338" spans="1:4" x14ac:dyDescent="0.25">
      <c r="A6338" t="str">
        <f>T("   902730")</f>
        <v xml:space="preserve">   902730</v>
      </c>
      <c r="B6338" t="str">
        <f>T("   Spectromètres, spectrophotomètres et spectrographes utilisant les rayonnements optiques: UV, visibles, IR")</f>
        <v xml:space="preserve">   Spectromètres, spectrophotomètres et spectrographes utilisant les rayonnements optiques: UV, visibles, IR</v>
      </c>
      <c r="C6338">
        <v>1678496</v>
      </c>
      <c r="D6338">
        <v>98</v>
      </c>
    </row>
    <row r="6339" spans="1:4" x14ac:dyDescent="0.25">
      <c r="A6339" t="str">
        <f>T("   902780")</f>
        <v xml:space="preserve">   902780</v>
      </c>
      <c r="B6339" t="str">
        <f>T("   Instruments et appareils pour analyses physiques ou chimiques, ou pour essais de viscosité, de porosité, de dilatation, de tension superficielle ou simil. ou pour mesures calorimétriques ou acoustiques ou photométriques, n.d.a.")</f>
        <v xml:space="preserve">   Instruments et appareils pour analyses physiques ou chimiques, ou pour essais de viscosité, de porosité, de dilatation, de tension superficielle ou simil. ou pour mesures calorimétriques ou acoustiques ou photométriques, n.d.a.</v>
      </c>
      <c r="C6339">
        <v>6041523</v>
      </c>
      <c r="D6339">
        <v>487</v>
      </c>
    </row>
    <row r="6340" spans="1:4" x14ac:dyDescent="0.25">
      <c r="A6340" t="str">
        <f>T("   902790")</f>
        <v xml:space="preserve">   902790</v>
      </c>
      <c r="B6340" t="s">
        <v>502</v>
      </c>
      <c r="C6340">
        <v>2558244</v>
      </c>
      <c r="D6340">
        <v>1</v>
      </c>
    </row>
    <row r="6341" spans="1:4" x14ac:dyDescent="0.25">
      <c r="A6341" t="str">
        <f>T("   903089")</f>
        <v xml:space="preserve">   903089</v>
      </c>
      <c r="B6341" t="str">
        <f>T("   Instruments et appareils pour la mesure ou le contrôle de grandeurs électriques, sans dispositif enregistreur, n.d.a.")</f>
        <v xml:space="preserve">   Instruments et appareils pour la mesure ou le contrôle de grandeurs électriques, sans dispositif enregistreur, n.d.a.</v>
      </c>
      <c r="C6341">
        <v>295838</v>
      </c>
      <c r="D6341">
        <v>1</v>
      </c>
    </row>
    <row r="6342" spans="1:4" x14ac:dyDescent="0.25">
      <c r="A6342" t="str">
        <f>T("   920790")</f>
        <v xml:space="preserve">   920790</v>
      </c>
      <c r="B6342" t="str">
        <f>T("   Accordéons électriques et autres instruments de musique électriques")</f>
        <v xml:space="preserve">   Accordéons électriques et autres instruments de musique électriques</v>
      </c>
      <c r="C6342">
        <v>200000</v>
      </c>
      <c r="D6342">
        <v>100</v>
      </c>
    </row>
    <row r="6343" spans="1:4" x14ac:dyDescent="0.25">
      <c r="A6343" t="str">
        <f>T("   940169")</f>
        <v xml:space="preserve">   940169</v>
      </c>
      <c r="B6343" t="str">
        <f>T("   Sièges, avec bâti en bois, non rembourrés")</f>
        <v xml:space="preserve">   Sièges, avec bâti en bois, non rembourrés</v>
      </c>
      <c r="C6343">
        <v>7779698</v>
      </c>
      <c r="D6343">
        <v>2723</v>
      </c>
    </row>
    <row r="6344" spans="1:4" x14ac:dyDescent="0.25">
      <c r="A6344" t="str">
        <f>T("   940320")</f>
        <v xml:space="preserve">   940320</v>
      </c>
      <c r="B6344" t="str">
        <f>T("   Meubles en métal, sauf meubles de bureau, sièges et mobilier pour la médecine, la chirurgie, l'art dentaire ou vétérinaire")</f>
        <v xml:space="preserve">   Meubles en métal, sauf meubles de bureau, sièges et mobilier pour la médecine, la chirurgie, l'art dentaire ou vétérinaire</v>
      </c>
      <c r="C6344">
        <v>5402627</v>
      </c>
      <c r="D6344">
        <v>8505</v>
      </c>
    </row>
    <row r="6345" spans="1:4" x14ac:dyDescent="0.25">
      <c r="A6345" t="str">
        <f>T("   940350")</f>
        <v xml:space="preserve">   940350</v>
      </c>
      <c r="B6345" t="str">
        <f>T("   Meubles pour chambres à coucher, en bois (sauf sièges)")</f>
        <v xml:space="preserve">   Meubles pour chambres à coucher, en bois (sauf sièges)</v>
      </c>
      <c r="C6345">
        <v>2000000</v>
      </c>
      <c r="D6345">
        <v>2550</v>
      </c>
    </row>
    <row r="6346" spans="1:4" x14ac:dyDescent="0.25">
      <c r="A6346" t="str">
        <f>T("   940370")</f>
        <v xml:space="preserve">   940370</v>
      </c>
      <c r="B6346" t="str">
        <f>T("   Meubles en matières plastiques (autres que pour la médecine, l'art dentaire et vétérinaire, la chirurgie et autres que sièges)")</f>
        <v xml:space="preserve">   Meubles en matières plastiques (autres que pour la médecine, l'art dentaire et vétérinaire, la chirurgie et autres que sièges)</v>
      </c>
      <c r="C6346">
        <v>8018141</v>
      </c>
      <c r="D6346">
        <v>6433</v>
      </c>
    </row>
    <row r="6347" spans="1:4" x14ac:dyDescent="0.25">
      <c r="A6347" t="str">
        <f>T("   940380")</f>
        <v xml:space="preserve">   940380</v>
      </c>
      <c r="B6347" t="str">
        <f>T("   Meubles en rotin, osier, bambou ou autres matières (sauf métal, bois et matières plastiques)")</f>
        <v xml:space="preserve">   Meubles en rotin, osier, bambou ou autres matières (sauf métal, bois et matières plastiques)</v>
      </c>
      <c r="C6347">
        <v>16859523</v>
      </c>
      <c r="D6347">
        <v>28477</v>
      </c>
    </row>
    <row r="6348" spans="1:4" x14ac:dyDescent="0.25">
      <c r="A6348" t="str">
        <f>T("   940390")</f>
        <v xml:space="preserve">   940390</v>
      </c>
      <c r="B6348" t="str">
        <f>T("   PARTIES DE MEUBLES, N.D.A. (AUTRES QUE DE SIÈGES ET MOBILIER POUR LA MÉDECINE, L'ART DENTAIRE ET VÉTÉRINAIRE OU LA CHIRURGIE)")</f>
        <v xml:space="preserve">   PARTIES DE MEUBLES, N.D.A. (AUTRES QUE DE SIÈGES ET MOBILIER POUR LA MÉDECINE, L'ART DENTAIRE ET VÉTÉRINAIRE OU LA CHIRURGIE)</v>
      </c>
      <c r="C6348">
        <v>34422</v>
      </c>
      <c r="D6348">
        <v>41</v>
      </c>
    </row>
    <row r="6349" spans="1:4" x14ac:dyDescent="0.25">
      <c r="A6349" t="str">
        <f>T("   940510")</f>
        <v xml:space="preserve">   940510</v>
      </c>
      <c r="B6349" t="str">
        <f>T("   Lustres et autres appareils d'éclairage électrique à suspendre ou à fixer au plafond ou au mur (sauf pour l'éclairage des espaces et voies publiques)")</f>
        <v xml:space="preserve">   Lustres et autres appareils d'éclairage électrique à suspendre ou à fixer au plafond ou au mur (sauf pour l'éclairage des espaces et voies publiques)</v>
      </c>
      <c r="C6349">
        <v>46976</v>
      </c>
      <c r="D6349">
        <v>364</v>
      </c>
    </row>
    <row r="6350" spans="1:4" x14ac:dyDescent="0.25">
      <c r="A6350" t="str">
        <f>T("   940540")</f>
        <v xml:space="preserve">   940540</v>
      </c>
      <c r="B6350" t="str">
        <f>T("   Appareils d'éclairage électrique, n.d.a.")</f>
        <v xml:space="preserve">   Appareils d'éclairage électrique, n.d.a.</v>
      </c>
      <c r="C6350">
        <v>1551177</v>
      </c>
      <c r="D6350">
        <v>1560</v>
      </c>
    </row>
    <row r="6351" spans="1:4" x14ac:dyDescent="0.25">
      <c r="A6351" t="str">
        <f>T("   950590")</f>
        <v xml:space="preserve">   950590</v>
      </c>
      <c r="B6351" t="str">
        <f>T("   Articles pour fêtes, carnaval ou autres divertissements, y.c. les articles de magie et articles-surprises, n.d.a.")</f>
        <v xml:space="preserve">   Articles pour fêtes, carnaval ou autres divertissements, y.c. les articles de magie et articles-surprises, n.d.a.</v>
      </c>
      <c r="C6351">
        <v>937192</v>
      </c>
      <c r="D6351">
        <v>1858</v>
      </c>
    </row>
    <row r="6352" spans="1:4" x14ac:dyDescent="0.25">
      <c r="A6352" t="str">
        <f>T("HM")</f>
        <v>HM</v>
      </c>
      <c r="B6352" t="str">
        <f>T("Heard et McDonald, îles")</f>
        <v>Heard et McDonald, îles</v>
      </c>
    </row>
    <row r="6353" spans="1:4" x14ac:dyDescent="0.25">
      <c r="A6353" t="str">
        <f>T("   ZZ_Total_Produit_SH6")</f>
        <v xml:space="preserve">   ZZ_Total_Produit_SH6</v>
      </c>
      <c r="B6353" t="str">
        <f>T("   ZZ_Total_Produit_SH6")</f>
        <v xml:space="preserve">   ZZ_Total_Produit_SH6</v>
      </c>
      <c r="C6353">
        <v>2398034</v>
      </c>
      <c r="D6353">
        <v>17.7</v>
      </c>
    </row>
    <row r="6354" spans="1:4" x14ac:dyDescent="0.25">
      <c r="A6354" t="str">
        <f>T("   847190")</f>
        <v xml:space="preserve">   847190</v>
      </c>
      <c r="B6354"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6354">
        <v>2398034</v>
      </c>
      <c r="D6354">
        <v>17.7</v>
      </c>
    </row>
    <row r="6355" spans="1:4" x14ac:dyDescent="0.25">
      <c r="A6355" t="str">
        <f>T("HN")</f>
        <v>HN</v>
      </c>
      <c r="B6355" t="str">
        <f>T("Honduras")</f>
        <v>Honduras</v>
      </c>
    </row>
    <row r="6356" spans="1:4" x14ac:dyDescent="0.25">
      <c r="A6356" t="str">
        <f>T("   ZZ_Total_Produit_SH6")</f>
        <v xml:space="preserve">   ZZ_Total_Produit_SH6</v>
      </c>
      <c r="B6356" t="str">
        <f>T("   ZZ_Total_Produit_SH6")</f>
        <v xml:space="preserve">   ZZ_Total_Produit_SH6</v>
      </c>
      <c r="C6356">
        <v>490000</v>
      </c>
      <c r="D6356">
        <v>68</v>
      </c>
    </row>
    <row r="6357" spans="1:4" x14ac:dyDescent="0.25">
      <c r="A6357" t="str">
        <f>T("   847190")</f>
        <v xml:space="preserve">   847190</v>
      </c>
      <c r="B6357"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6357">
        <v>490000</v>
      </c>
      <c r="D6357">
        <v>68</v>
      </c>
    </row>
    <row r="6358" spans="1:4" x14ac:dyDescent="0.25">
      <c r="A6358" t="str">
        <f>T("HR")</f>
        <v>HR</v>
      </c>
      <c r="B6358" t="str">
        <f>T("Croatie")</f>
        <v>Croatie</v>
      </c>
    </row>
    <row r="6359" spans="1:4" x14ac:dyDescent="0.25">
      <c r="A6359" t="str">
        <f>T("   ZZ_Total_Produit_SH6")</f>
        <v xml:space="preserve">   ZZ_Total_Produit_SH6</v>
      </c>
      <c r="B6359" t="str">
        <f>T("   ZZ_Total_Produit_SH6")</f>
        <v xml:space="preserve">   ZZ_Total_Produit_SH6</v>
      </c>
      <c r="C6359">
        <v>22065008</v>
      </c>
      <c r="D6359">
        <v>17363</v>
      </c>
    </row>
    <row r="6360" spans="1:4" x14ac:dyDescent="0.25">
      <c r="A6360" t="str">
        <f>T("   420229")</f>
        <v xml:space="preserve">   420229</v>
      </c>
      <c r="B6360" t="str">
        <f>T("   Sacs à main, même à bandoulière, y.c. ceux sans poignée, à surface extérieure en fibre vulcanisée ou en carton, ou recouverts, en totalité ou en majeure partie, de ces mêmes matières ou de papier")</f>
        <v xml:space="preserve">   Sacs à main, même à bandoulière, y.c. ceux sans poignée, à surface extérieure en fibre vulcanisée ou en carton, ou recouverts, en totalité ou en majeure partie, de ces mêmes matières ou de papier</v>
      </c>
      <c r="C6360">
        <v>1538994</v>
      </c>
      <c r="D6360">
        <v>4000</v>
      </c>
    </row>
    <row r="6361" spans="1:4" x14ac:dyDescent="0.25">
      <c r="A6361" t="str">
        <f>T("   640590")</f>
        <v xml:space="preserve">   640590</v>
      </c>
      <c r="B6361" t="s">
        <v>290</v>
      </c>
      <c r="C6361">
        <v>6107106</v>
      </c>
      <c r="D6361">
        <v>13170</v>
      </c>
    </row>
    <row r="6362" spans="1:4" x14ac:dyDescent="0.25">
      <c r="A6362" t="str">
        <f>T("   847190")</f>
        <v xml:space="preserve">   847190</v>
      </c>
      <c r="B6362"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6362">
        <v>11438665</v>
      </c>
      <c r="D6362">
        <v>73</v>
      </c>
    </row>
    <row r="6363" spans="1:4" x14ac:dyDescent="0.25">
      <c r="A6363" t="str">
        <f>T("   901580")</f>
        <v xml:space="preserve">   901580</v>
      </c>
      <c r="B6363" t="s">
        <v>496</v>
      </c>
      <c r="C6363">
        <v>2980243</v>
      </c>
      <c r="D6363">
        <v>120</v>
      </c>
    </row>
    <row r="6364" spans="1:4" x14ac:dyDescent="0.25">
      <c r="A6364" t="str">
        <f>T("HU")</f>
        <v>HU</v>
      </c>
      <c r="B6364" t="str">
        <f>T("Hongrie")</f>
        <v>Hongrie</v>
      </c>
    </row>
    <row r="6365" spans="1:4" x14ac:dyDescent="0.25">
      <c r="A6365" t="str">
        <f>T("   ZZ_Total_Produit_SH6")</f>
        <v xml:space="preserve">   ZZ_Total_Produit_SH6</v>
      </c>
      <c r="B6365" t="str">
        <f>T("   ZZ_Total_Produit_SH6")</f>
        <v xml:space="preserve">   ZZ_Total_Produit_SH6</v>
      </c>
      <c r="C6365">
        <v>205108231</v>
      </c>
      <c r="D6365">
        <v>275182.67</v>
      </c>
    </row>
    <row r="6366" spans="1:4" x14ac:dyDescent="0.25">
      <c r="A6366" t="str">
        <f>T("   020727")</f>
        <v xml:space="preserve">   020727</v>
      </c>
      <c r="B6366" t="str">
        <f>T("   Morceaux et abats comestibles de dindes et dindons [des espèces domestiques], congelés")</f>
        <v xml:space="preserve">   Morceaux et abats comestibles de dindes et dindons [des espèces domestiques], congelés</v>
      </c>
      <c r="C6366">
        <v>31100022</v>
      </c>
      <c r="D6366">
        <v>47150</v>
      </c>
    </row>
    <row r="6367" spans="1:4" x14ac:dyDescent="0.25">
      <c r="A6367" t="str">
        <f>T("   630900")</f>
        <v xml:space="preserve">   630900</v>
      </c>
      <c r="B6367" t="s">
        <v>280</v>
      </c>
      <c r="C6367">
        <v>129572634</v>
      </c>
      <c r="D6367">
        <v>222000</v>
      </c>
    </row>
    <row r="6368" spans="1:4" x14ac:dyDescent="0.25">
      <c r="A6368" t="str">
        <f>T("   847290")</f>
        <v xml:space="preserve">   847290</v>
      </c>
      <c r="B6368" t="str">
        <f>T("   Machines et appareils de bureau, n.d.a.")</f>
        <v xml:space="preserve">   Machines et appareils de bureau, n.d.a.</v>
      </c>
      <c r="C6368">
        <v>42986559</v>
      </c>
      <c r="D6368">
        <v>5635</v>
      </c>
    </row>
    <row r="6369" spans="1:4" x14ac:dyDescent="0.25">
      <c r="A6369" t="str">
        <f>T("   851790")</f>
        <v xml:space="preserve">   851790</v>
      </c>
      <c r="B6369" t="s">
        <v>454</v>
      </c>
      <c r="C6369">
        <v>1449016</v>
      </c>
      <c r="D6369">
        <v>397.67</v>
      </c>
    </row>
    <row r="6370" spans="1:4" x14ac:dyDescent="0.25">
      <c r="A6370" t="str">
        <f>T("ID")</f>
        <v>ID</v>
      </c>
      <c r="B6370" t="str">
        <f>T("Indonésie")</f>
        <v>Indonésie</v>
      </c>
    </row>
    <row r="6371" spans="1:4" x14ac:dyDescent="0.25">
      <c r="A6371" t="str">
        <f>T("   ZZ_Total_Produit_SH6")</f>
        <v xml:space="preserve">   ZZ_Total_Produit_SH6</v>
      </c>
      <c r="B6371" t="str">
        <f>T("   ZZ_Total_Produit_SH6")</f>
        <v xml:space="preserve">   ZZ_Total_Produit_SH6</v>
      </c>
      <c r="C6371">
        <v>2589024404.882</v>
      </c>
      <c r="D6371">
        <v>7843664.46</v>
      </c>
    </row>
    <row r="6372" spans="1:4" x14ac:dyDescent="0.25">
      <c r="A6372" t="str">
        <f>T("   040590")</f>
        <v xml:space="preserve">   040590</v>
      </c>
      <c r="B6372" t="str">
        <f>T("   Matières grasses provenant du lait ainsi que beurre déshydraté et ghee (à l'excl. du beurre naturel, du beurre recombiné et du beurre de lactosérum)")</f>
        <v xml:space="preserve">   Matières grasses provenant du lait ainsi que beurre déshydraté et ghee (à l'excl. du beurre naturel, du beurre recombiné et du beurre de lactosérum)</v>
      </c>
      <c r="C6372">
        <v>5033175</v>
      </c>
      <c r="D6372">
        <v>20644</v>
      </c>
    </row>
    <row r="6373" spans="1:4" x14ac:dyDescent="0.25">
      <c r="A6373" t="str">
        <f>T("   150890")</f>
        <v xml:space="preserve">   150890</v>
      </c>
      <c r="B6373" t="str">
        <f>T("   Huile d'arachide et ses fractions, même raffinées, mais non chimiquement modifiées (à l'excl. de l'huile d'arachide brute)")</f>
        <v xml:space="preserve">   Huile d'arachide et ses fractions, même raffinées, mais non chimiquement modifiées (à l'excl. de l'huile d'arachide brute)</v>
      </c>
      <c r="C6373">
        <v>35055737.226999998</v>
      </c>
      <c r="D6373">
        <v>88000</v>
      </c>
    </row>
    <row r="6374" spans="1:4" x14ac:dyDescent="0.25">
      <c r="A6374" t="str">
        <f>T("   151110")</f>
        <v xml:space="preserve">   151110</v>
      </c>
      <c r="B6374" t="str">
        <f>T("   Huile de palme, brute")</f>
        <v xml:space="preserve">   Huile de palme, brute</v>
      </c>
      <c r="C6374">
        <v>687500000</v>
      </c>
      <c r="D6374">
        <v>2750000</v>
      </c>
    </row>
    <row r="6375" spans="1:4" x14ac:dyDescent="0.25">
      <c r="A6375" t="str">
        <f>T("   151190")</f>
        <v xml:space="preserve">   151190</v>
      </c>
      <c r="B6375" t="str">
        <f>T("   Huile de palme et ses fractions, même raffinées, mais non chimiquement modifiées (à l'excl. de l'huile de palme brute)")</f>
        <v xml:space="preserve">   Huile de palme et ses fractions, même raffinées, mais non chimiquement modifiées (à l'excl. de l'huile de palme brute)</v>
      </c>
      <c r="C6375">
        <v>627220664.65499997</v>
      </c>
      <c r="D6375">
        <v>1630903</v>
      </c>
    </row>
    <row r="6376" spans="1:4" x14ac:dyDescent="0.25">
      <c r="A6376" t="str">
        <f>T("   151620")</f>
        <v xml:space="preserve">   151620</v>
      </c>
      <c r="B6376" t="str">
        <f>T("   Graisses et huiles végétales et leurs fractions, partiellement ou totalement hydrogénées, interestérifiées, réestérifiées ou élaïdinisées, même raffinées, mais non autrement préparées")</f>
        <v xml:space="preserve">   Graisses et huiles végétales et leurs fractions, partiellement ou totalement hydrogénées, interestérifiées, réestérifiées ou élaïdinisées, même raffinées, mais non autrement préparées</v>
      </c>
      <c r="C6376">
        <v>60501603</v>
      </c>
      <c r="D6376">
        <v>254456</v>
      </c>
    </row>
    <row r="6377" spans="1:4" x14ac:dyDescent="0.25">
      <c r="A6377" t="str">
        <f>T("   151710")</f>
        <v xml:space="preserve">   151710</v>
      </c>
      <c r="B6377" t="str">
        <f>T("   Margarine (à l'excl. de la margarine liquide)")</f>
        <v xml:space="preserve">   Margarine (à l'excl. de la margarine liquide)</v>
      </c>
      <c r="C6377">
        <v>58806353</v>
      </c>
      <c r="D6377">
        <v>198680</v>
      </c>
    </row>
    <row r="6378" spans="1:4" x14ac:dyDescent="0.25">
      <c r="A6378" t="str">
        <f>T("   151790")</f>
        <v xml:space="preserve">   151790</v>
      </c>
      <c r="B6378" t="s">
        <v>35</v>
      </c>
      <c r="C6378">
        <v>9740000</v>
      </c>
      <c r="D6378">
        <v>41236</v>
      </c>
    </row>
    <row r="6379" spans="1:4" x14ac:dyDescent="0.25">
      <c r="A6379" t="str">
        <f>T("   160413")</f>
        <v xml:space="preserve">   160413</v>
      </c>
      <c r="B6379" t="str">
        <f>T("   Préparations et conserves de sardines, sardinelles, sprats ou esprots, entiers ou en morceaux (à l'excl. des préparations et conserves de poissons hachés)")</f>
        <v xml:space="preserve">   Préparations et conserves de sardines, sardinelles, sprats ou esprots, entiers ou en morceaux (à l'excl. des préparations et conserves de poissons hachés)</v>
      </c>
      <c r="C6379">
        <v>15292188</v>
      </c>
      <c r="D6379">
        <v>40000</v>
      </c>
    </row>
    <row r="6380" spans="1:4" x14ac:dyDescent="0.25">
      <c r="A6380" t="str">
        <f>T("   170410")</f>
        <v xml:space="preserve">   170410</v>
      </c>
      <c r="B6380" t="str">
        <f>T("   Gommes à mâcher [chewing-gum], même enrobées de sucre")</f>
        <v xml:space="preserve">   Gommes à mâcher [chewing-gum], même enrobées de sucre</v>
      </c>
      <c r="C6380">
        <v>5462840</v>
      </c>
      <c r="D6380">
        <v>29344</v>
      </c>
    </row>
    <row r="6381" spans="1:4" x14ac:dyDescent="0.25">
      <c r="A6381" t="str">
        <f>T("   170490")</f>
        <v xml:space="preserve">   170490</v>
      </c>
      <c r="B6381" t="str">
        <f>T("   Sucreries sans cacao, y.c. le chocolat blanc (à l'excl. des gommes à mâcher)")</f>
        <v xml:space="preserve">   Sucreries sans cacao, y.c. le chocolat blanc (à l'excl. des gommes à mâcher)</v>
      </c>
      <c r="C6381">
        <v>20334820</v>
      </c>
      <c r="D6381">
        <v>115200</v>
      </c>
    </row>
    <row r="6382" spans="1:4" x14ac:dyDescent="0.25">
      <c r="A6382" t="str">
        <f>T("   180620")</f>
        <v xml:space="preserve">   180620</v>
      </c>
      <c r="B6382" t="s">
        <v>45</v>
      </c>
      <c r="C6382">
        <v>394314</v>
      </c>
      <c r="D6382">
        <v>343</v>
      </c>
    </row>
    <row r="6383" spans="1:4" x14ac:dyDescent="0.25">
      <c r="A6383" t="str">
        <f>T("   190410")</f>
        <v xml:space="preserve">   190410</v>
      </c>
      <c r="B6383" t="str">
        <f>T("   PRODUITS À BASE DE CÉRÉALES OBTENUS PAR SOUFFLAGE OU GRILLAGE [CORN FLAKES, P.EX.]")</f>
        <v xml:space="preserve">   PRODUITS À BASE DE CÉRÉALES OBTENUS PAR SOUFFLAGE OU GRILLAGE [CORN FLAKES, P.EX.]</v>
      </c>
      <c r="C6383">
        <v>432610</v>
      </c>
      <c r="D6383">
        <v>433</v>
      </c>
    </row>
    <row r="6384" spans="1:4" x14ac:dyDescent="0.25">
      <c r="A6384" t="str">
        <f>T("   190532")</f>
        <v xml:space="preserve">   190532</v>
      </c>
      <c r="B6384" t="str">
        <f>T("   GAUFRES ET GAUFRETTES")</f>
        <v xml:space="preserve">   GAUFRES ET GAUFRETTES</v>
      </c>
      <c r="C6384">
        <v>3455358</v>
      </c>
      <c r="D6384">
        <v>6070</v>
      </c>
    </row>
    <row r="6385" spans="1:4" x14ac:dyDescent="0.25">
      <c r="A6385" t="str">
        <f>T("   210690")</f>
        <v xml:space="preserve">   210690</v>
      </c>
      <c r="B6385" t="str">
        <f>T("   Préparations alimentaires, n.d.a.")</f>
        <v xml:space="preserve">   Préparations alimentaires, n.d.a.</v>
      </c>
      <c r="C6385">
        <v>1713676</v>
      </c>
      <c r="D6385">
        <v>2220</v>
      </c>
    </row>
    <row r="6386" spans="1:4" x14ac:dyDescent="0.25">
      <c r="A6386" t="str">
        <f>T("   220290")</f>
        <v xml:space="preserve">   220290</v>
      </c>
      <c r="B6386" t="str">
        <f>T("   BOISSONS NON-ALCOOLIQUES (À L'EXCL. DES EAUX, DES JUS DE FRUITS OU DE LÉGUMES AINSI QUE DU LAIT)")</f>
        <v xml:space="preserve">   BOISSONS NON-ALCOOLIQUES (À L'EXCL. DES EAUX, DES JUS DE FRUITS OU DE LÉGUMES AINSI QUE DU LAIT)</v>
      </c>
      <c r="C6386">
        <v>1226177</v>
      </c>
      <c r="D6386">
        <v>1290</v>
      </c>
    </row>
    <row r="6387" spans="1:4" x14ac:dyDescent="0.25">
      <c r="A6387" t="str">
        <f>T("   220300")</f>
        <v xml:space="preserve">   220300</v>
      </c>
      <c r="B6387" t="str">
        <f>T("   Bières de malt")</f>
        <v xml:space="preserve">   Bières de malt</v>
      </c>
      <c r="C6387">
        <v>3676706</v>
      </c>
      <c r="D6387">
        <v>16226</v>
      </c>
    </row>
    <row r="6388" spans="1:4" x14ac:dyDescent="0.25">
      <c r="A6388" t="str">
        <f>T("   293420")</f>
        <v xml:space="preserve">   293420</v>
      </c>
      <c r="B6388" t="str">
        <f>T("   COMPOSÉS HÉTÉROCYCLIQUES COMPORTANT UNE STRUCTURE À CYCLES BENZOTHIAZOLE, HYDROGÉNÉS OU NON, SANS AUTRES CONDENSATIONS (À L'EXCL. DES COMPOSÉS INORGANIQUES OU ORGANIQUES DU MERCURE)")</f>
        <v xml:space="preserve">   COMPOSÉS HÉTÉROCYCLIQUES COMPORTANT UNE STRUCTURE À CYCLES BENZOTHIAZOLE, HYDROGÉNÉS OU NON, SANS AUTRES CONDENSATIONS (À L'EXCL. DES COMPOSÉS INORGANIQUES OU ORGANIQUES DU MERCURE)</v>
      </c>
      <c r="C6388">
        <v>9014325</v>
      </c>
      <c r="D6388">
        <v>40224</v>
      </c>
    </row>
    <row r="6389" spans="1:4" x14ac:dyDescent="0.25">
      <c r="A6389" t="str">
        <f>T("   300490")</f>
        <v xml:space="preserve">   300490</v>
      </c>
      <c r="B6389" t="s">
        <v>78</v>
      </c>
      <c r="C6389">
        <v>16068000</v>
      </c>
      <c r="D6389">
        <v>6749</v>
      </c>
    </row>
    <row r="6390" spans="1:4" x14ac:dyDescent="0.25">
      <c r="A6390" t="str">
        <f>T("   321410")</f>
        <v xml:space="preserve">   321410</v>
      </c>
      <c r="B6390" t="str">
        <f>T("   Mastic de vitrier, ciments de résine et autres mastics; enduits utilisés en peinture")</f>
        <v xml:space="preserve">   Mastic de vitrier, ciments de résine et autres mastics; enduits utilisés en peinture</v>
      </c>
      <c r="C6390">
        <v>488458</v>
      </c>
      <c r="D6390">
        <v>531</v>
      </c>
    </row>
    <row r="6391" spans="1:4" x14ac:dyDescent="0.25">
      <c r="A6391" t="str">
        <f>T("   330499")</f>
        <v xml:space="preserve">   330499</v>
      </c>
      <c r="B6391" t="s">
        <v>100</v>
      </c>
      <c r="C6391">
        <v>1330676</v>
      </c>
      <c r="D6391">
        <v>2144</v>
      </c>
    </row>
    <row r="6392" spans="1:4" x14ac:dyDescent="0.25">
      <c r="A6392" t="str">
        <f>T("   330610")</f>
        <v xml:space="preserve">   330610</v>
      </c>
      <c r="B6392" t="str">
        <f>T("   Dentifrices, préparés, même des types utilisés par les dentistes")</f>
        <v xml:space="preserve">   Dentifrices, préparés, même des types utilisés par les dentistes</v>
      </c>
      <c r="C6392">
        <v>245427</v>
      </c>
      <c r="D6392">
        <v>268</v>
      </c>
    </row>
    <row r="6393" spans="1:4" x14ac:dyDescent="0.25">
      <c r="A6393" t="str">
        <f>T("   330749")</f>
        <v xml:space="preserve">   330749</v>
      </c>
      <c r="B6393" t="str">
        <f>T("   Préparations pour parfumer ou pour désodoriser les locaux, y.c. les préparations odoriférantes pour cérémonies religieuses (à l'excl. de l'agarbatti et des autres préparations odoriférantes agissant par combustion)")</f>
        <v xml:space="preserve">   Préparations pour parfumer ou pour désodoriser les locaux, y.c. les préparations odoriférantes pour cérémonies religieuses (à l'excl. de l'agarbatti et des autres préparations odoriférantes agissant par combustion)</v>
      </c>
      <c r="C6393">
        <v>36688652</v>
      </c>
      <c r="D6393">
        <v>32229</v>
      </c>
    </row>
    <row r="6394" spans="1:4" x14ac:dyDescent="0.25">
      <c r="A6394" t="str">
        <f>T("   340111")</f>
        <v xml:space="preserve">   340111</v>
      </c>
      <c r="B6394" t="s">
        <v>101</v>
      </c>
      <c r="C6394">
        <v>333183412</v>
      </c>
      <c r="D6394">
        <v>928200</v>
      </c>
    </row>
    <row r="6395" spans="1:4" x14ac:dyDescent="0.25">
      <c r="A6395" t="str">
        <f>T("   340119")</f>
        <v xml:space="preserve">   340119</v>
      </c>
      <c r="B6395" t="s">
        <v>102</v>
      </c>
      <c r="C6395">
        <v>150332776</v>
      </c>
      <c r="D6395">
        <v>735311</v>
      </c>
    </row>
    <row r="6396" spans="1:4" x14ac:dyDescent="0.25">
      <c r="A6396" t="str">
        <f>T("   340120")</f>
        <v xml:space="preserve">   340120</v>
      </c>
      <c r="B6396" t="str">
        <f>T("   Savons en flocons, en paillettes, en granulés ou en poudres et savons liquides ou pâteux")</f>
        <v xml:space="preserve">   Savons en flocons, en paillettes, en granulés ou en poudres et savons liquides ou pâteux</v>
      </c>
      <c r="C6396">
        <v>36709823</v>
      </c>
      <c r="D6396">
        <v>156904</v>
      </c>
    </row>
    <row r="6397" spans="1:4" x14ac:dyDescent="0.25">
      <c r="A6397" t="str">
        <f>T("   340220")</f>
        <v xml:space="preserve">   340220</v>
      </c>
      <c r="B6397" t="s">
        <v>103</v>
      </c>
      <c r="C6397">
        <v>47608296</v>
      </c>
      <c r="D6397">
        <v>102467</v>
      </c>
    </row>
    <row r="6398" spans="1:4" x14ac:dyDescent="0.25">
      <c r="A6398" t="str">
        <f>T("   340290")</f>
        <v xml:space="preserve">   340290</v>
      </c>
      <c r="B6398" t="s">
        <v>104</v>
      </c>
      <c r="C6398">
        <v>69662313</v>
      </c>
      <c r="D6398">
        <v>121189</v>
      </c>
    </row>
    <row r="6399" spans="1:4" x14ac:dyDescent="0.25">
      <c r="A6399" t="str">
        <f>T("   340530")</f>
        <v xml:space="preserve">   340530</v>
      </c>
      <c r="B6399" t="s">
        <v>110</v>
      </c>
      <c r="C6399">
        <v>5623179</v>
      </c>
      <c r="D6399">
        <v>5003</v>
      </c>
    </row>
    <row r="6400" spans="1:4" x14ac:dyDescent="0.25">
      <c r="A6400" t="str">
        <f>T("   380810")</f>
        <v xml:space="preserve">   380810</v>
      </c>
      <c r="B6400" t="str">
        <f>T("   Insecticides présentés dans des formes ou emballages de vente au détail ou à l'état de préparations ou sous forme d'articles")</f>
        <v xml:space="preserve">   Insecticides présentés dans des formes ou emballages de vente au détail ou à l'état de préparations ou sous forme d'articles</v>
      </c>
      <c r="C6400">
        <v>5550445</v>
      </c>
      <c r="D6400">
        <v>598</v>
      </c>
    </row>
    <row r="6401" spans="1:4" x14ac:dyDescent="0.25">
      <c r="A6401" t="str">
        <f>T("   380890")</f>
        <v xml:space="preserve">   380890</v>
      </c>
      <c r="B6401" t="str">
        <f>T("   Antirongeurs et autres produits phytosanitaires, présentés dans des formes ou emballages de vente au détail ou à l'état de préparations ou sous forme d'articles (à l'excl. des insecticides, des fongicides, des herbicides et des désinfectants)")</f>
        <v xml:space="preserve">   Antirongeurs et autres produits phytosanitaires, présentés dans des formes ou emballages de vente au détail ou à l'état de préparations ou sous forme d'articles (à l'excl. des insecticides, des fongicides, des herbicides et des désinfectants)</v>
      </c>
      <c r="C6401">
        <v>1786058</v>
      </c>
      <c r="D6401">
        <v>2166</v>
      </c>
    </row>
    <row r="6402" spans="1:4" x14ac:dyDescent="0.25">
      <c r="A6402" t="str">
        <f>T("   390750")</f>
        <v xml:space="preserve">   390750</v>
      </c>
      <c r="B6402" t="str">
        <f>T("   Résines alkydes, sous formes primaires")</f>
        <v xml:space="preserve">   Résines alkydes, sous formes primaires</v>
      </c>
      <c r="C6402">
        <v>21711751</v>
      </c>
      <c r="D6402">
        <v>16800</v>
      </c>
    </row>
    <row r="6403" spans="1:4" x14ac:dyDescent="0.25">
      <c r="A6403" t="str">
        <f>T("   420292")</f>
        <v xml:space="preserve">   420292</v>
      </c>
      <c r="B6403" t="s">
        <v>163</v>
      </c>
      <c r="C6403">
        <v>5699</v>
      </c>
      <c r="D6403">
        <v>20</v>
      </c>
    </row>
    <row r="6404" spans="1:4" x14ac:dyDescent="0.25">
      <c r="A6404" t="str">
        <f>T("   480257")</f>
        <v xml:space="preserve">   480257</v>
      </c>
      <c r="B6404" t="s">
        <v>191</v>
      </c>
      <c r="C6404">
        <v>62254613</v>
      </c>
      <c r="D6404">
        <v>122024</v>
      </c>
    </row>
    <row r="6405" spans="1:4" x14ac:dyDescent="0.25">
      <c r="A6405" t="str">
        <f>T("   480258")</f>
        <v xml:space="preserve">   480258</v>
      </c>
      <c r="B6405" t="s">
        <v>192</v>
      </c>
      <c r="C6405">
        <v>42849565</v>
      </c>
      <c r="D6405">
        <v>81174</v>
      </c>
    </row>
    <row r="6406" spans="1:4" x14ac:dyDescent="0.25">
      <c r="A6406" t="str">
        <f>T("   481029")</f>
        <v xml:space="preserve">   481029</v>
      </c>
      <c r="B6406" t="s">
        <v>205</v>
      </c>
      <c r="C6406">
        <v>13282000</v>
      </c>
      <c r="D6406">
        <v>55786</v>
      </c>
    </row>
    <row r="6407" spans="1:4" x14ac:dyDescent="0.25">
      <c r="A6407" t="str">
        <f>T("   481092")</f>
        <v xml:space="preserve">   481092</v>
      </c>
      <c r="B6407" t="s">
        <v>207</v>
      </c>
      <c r="C6407">
        <v>12357834</v>
      </c>
      <c r="D6407">
        <v>19894</v>
      </c>
    </row>
    <row r="6408" spans="1:4" x14ac:dyDescent="0.25">
      <c r="A6408" t="str">
        <f>T("   481810")</f>
        <v xml:space="preserve">   481810</v>
      </c>
      <c r="B6408" t="str">
        <f>T("   Papier hygiénique, en rouleaux d'une largeur &lt;= 36 cm")</f>
        <v xml:space="preserve">   Papier hygiénique, en rouleaux d'une largeur &lt;= 36 cm</v>
      </c>
      <c r="C6408">
        <v>7185457</v>
      </c>
      <c r="D6408">
        <v>9950</v>
      </c>
    </row>
    <row r="6409" spans="1:4" x14ac:dyDescent="0.25">
      <c r="A6409" t="str">
        <f>T("   482010")</f>
        <v xml:space="preserve">   482010</v>
      </c>
      <c r="B6409" t="str">
        <f>T("   Registres, livres comptables, carnets de notes, de commandes ou de quittances, blocs-mémorandums, blocs de papier à lettres, agendas et ouvrages simil., en papier ou carton")</f>
        <v xml:space="preserve">   Registres, livres comptables, carnets de notes, de commandes ou de quittances, blocs-mémorandums, blocs de papier à lettres, agendas et ouvrages simil., en papier ou carton</v>
      </c>
      <c r="C6409">
        <v>45807817</v>
      </c>
      <c r="D6409">
        <v>69539.3</v>
      </c>
    </row>
    <row r="6410" spans="1:4" x14ac:dyDescent="0.25">
      <c r="A6410" t="str">
        <f>T("   482390")</f>
        <v xml:space="preserve">   482390</v>
      </c>
      <c r="B6410" t="s">
        <v>218</v>
      </c>
      <c r="C6410">
        <v>5699</v>
      </c>
      <c r="D6410">
        <v>14</v>
      </c>
    </row>
    <row r="6411" spans="1:4" x14ac:dyDescent="0.25">
      <c r="A6411" t="str">
        <f>T("   520852")</f>
        <v xml:space="preserve">   520852</v>
      </c>
      <c r="B6411" t="str">
        <f>T("   Tissus de coton, imprimés, à armure toile, contenant &gt;= 85% en poids de coton, d'un poids &gt; 100 g/m² mais &lt;= 200 g/m²")</f>
        <v xml:space="preserve">   Tissus de coton, imprimés, à armure toile, contenant &gt;= 85% en poids de coton, d'un poids &gt; 100 g/m² mais &lt;= 200 g/m²</v>
      </c>
      <c r="C6411">
        <v>13074018</v>
      </c>
      <c r="D6411">
        <v>7829</v>
      </c>
    </row>
    <row r="6412" spans="1:4" x14ac:dyDescent="0.25">
      <c r="A6412" t="str">
        <f>T("   520859")</f>
        <v xml:space="preserve">   520859</v>
      </c>
      <c r="B6412" t="str">
        <f>T("   TISSUS DE COTON, IMPRIMÉS, CONTENANT &gt;= 85% EN POIDS DE COTON, D'UN POIDS &lt;= 200 G/M² (À L'EXCL. DES TISSUS À ARMURE TOILE)")</f>
        <v xml:space="preserve">   TISSUS DE COTON, IMPRIMÉS, CONTENANT &gt;= 85% EN POIDS DE COTON, D'UN POIDS &lt;= 200 G/M² (À L'EXCL. DES TISSUS À ARMURE TOILE)</v>
      </c>
      <c r="C6412">
        <v>17000000</v>
      </c>
      <c r="D6412">
        <v>13014</v>
      </c>
    </row>
    <row r="6413" spans="1:4" x14ac:dyDescent="0.25">
      <c r="A6413" t="str">
        <f>T("   610910")</f>
        <v xml:space="preserve">   610910</v>
      </c>
      <c r="B6413" t="str">
        <f>T("   T-shirts et maillots de corps, en bonneterie, de coton,")</f>
        <v xml:space="preserve">   T-shirts et maillots de corps, en bonneterie, de coton,</v>
      </c>
      <c r="C6413">
        <v>146681</v>
      </c>
      <c r="D6413">
        <v>11</v>
      </c>
    </row>
    <row r="6414" spans="1:4" x14ac:dyDescent="0.25">
      <c r="A6414" t="str">
        <f>T("   610990")</f>
        <v xml:space="preserve">   610990</v>
      </c>
      <c r="B6414" t="str">
        <f>T("   T-shirts et maillots de corps, en bonneterie, de matières textiles (sauf de coton)")</f>
        <v xml:space="preserve">   T-shirts et maillots de corps, en bonneterie, de matières textiles (sauf de coton)</v>
      </c>
      <c r="C6414">
        <v>16487</v>
      </c>
      <c r="D6414">
        <v>3</v>
      </c>
    </row>
    <row r="6415" spans="1:4" x14ac:dyDescent="0.25">
      <c r="A6415" t="str">
        <f>T("   611190")</f>
        <v xml:space="preserve">   611190</v>
      </c>
      <c r="B6415" t="str">
        <f>T("   VÊTEMENTS ET ACCESSOIRES DU VÊTEMENT, EN BONNETERIE, DE MATIÈRES TEXTILES, POUR BÉBÉS (SAUF DE COTON, FIBRES SYNTHÉTIQUES ET SAUF BONNETS)")</f>
        <v xml:space="preserve">   VÊTEMENTS ET ACCESSOIRES DU VÊTEMENT, EN BONNETERIE, DE MATIÈRES TEXTILES, POUR BÉBÉS (SAUF DE COTON, FIBRES SYNTHÉTIQUES ET SAUF BONNETS)</v>
      </c>
      <c r="C6415">
        <v>3541439</v>
      </c>
      <c r="D6415">
        <v>3970</v>
      </c>
    </row>
    <row r="6416" spans="1:4" x14ac:dyDescent="0.25">
      <c r="A6416" t="str">
        <f>T("   630190")</f>
        <v xml:space="preserve">   630190</v>
      </c>
      <c r="B6416" t="s">
        <v>275</v>
      </c>
      <c r="C6416">
        <v>2000328</v>
      </c>
      <c r="D6416">
        <v>160</v>
      </c>
    </row>
    <row r="6417" spans="1:4" x14ac:dyDescent="0.25">
      <c r="A6417" t="str">
        <f>T("   630229")</f>
        <v xml:space="preserve">   630229</v>
      </c>
      <c r="B6417" t="str">
        <f>T("   Linge de lit, de matières textiles, imprimé (autre que de coton, fibres synthétiques ou artificielles, autres qu'en bonneterie)")</f>
        <v xml:space="preserve">   Linge de lit, de matières textiles, imprimé (autre que de coton, fibres synthétiques ou artificielles, autres qu'en bonneterie)</v>
      </c>
      <c r="C6417">
        <v>1000404</v>
      </c>
      <c r="D6417">
        <v>70</v>
      </c>
    </row>
    <row r="6418" spans="1:4" x14ac:dyDescent="0.25">
      <c r="A6418" t="str">
        <f>T("   630533")</f>
        <v xml:space="preserve">   630533</v>
      </c>
      <c r="B6418" t="str">
        <f>T("   Sacs et sachets d'emballage obtenus à partir de lames ou formes simil., de polyéthylène ou polypropylène (à l'excl. des contenants souples pour matières en vrac)")</f>
        <v xml:space="preserve">   Sacs et sachets d'emballage obtenus à partir de lames ou formes simil., de polyéthylène ou polypropylène (à l'excl. des contenants souples pour matières en vrac)</v>
      </c>
      <c r="C6418">
        <v>27125495</v>
      </c>
      <c r="D6418">
        <v>24825</v>
      </c>
    </row>
    <row r="6419" spans="1:4" x14ac:dyDescent="0.25">
      <c r="A6419" t="str">
        <f>T("   650590")</f>
        <v xml:space="preserve">   650590</v>
      </c>
      <c r="B6419" t="s">
        <v>291</v>
      </c>
      <c r="C6419">
        <v>5699</v>
      </c>
      <c r="D6419">
        <v>15</v>
      </c>
    </row>
    <row r="6420" spans="1:4" x14ac:dyDescent="0.25">
      <c r="A6420" t="str">
        <f>T("   701329")</f>
        <v xml:space="preserve">   701329</v>
      </c>
      <c r="B6420" t="str">
        <f>T("   Verres à boire (autres qu'en vitrocérame, autres qu'en cristal au plomb)")</f>
        <v xml:space="preserve">   Verres à boire (autres qu'en vitrocérame, autres qu'en cristal au plomb)</v>
      </c>
      <c r="C6420">
        <v>1738487</v>
      </c>
      <c r="D6420">
        <v>6366</v>
      </c>
    </row>
    <row r="6421" spans="1:4" x14ac:dyDescent="0.25">
      <c r="A6421" t="str">
        <f>T("   701399")</f>
        <v xml:space="preserve">   701399</v>
      </c>
      <c r="B6421" t="s">
        <v>328</v>
      </c>
      <c r="C6421">
        <v>10277336</v>
      </c>
      <c r="D6421">
        <v>34854</v>
      </c>
    </row>
    <row r="6422" spans="1:4" x14ac:dyDescent="0.25">
      <c r="A6422" t="str">
        <f>T("   732690")</f>
        <v xml:space="preserve">   732690</v>
      </c>
      <c r="B6422"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6422">
        <v>2847</v>
      </c>
      <c r="D6422">
        <v>20</v>
      </c>
    </row>
    <row r="6423" spans="1:4" x14ac:dyDescent="0.25">
      <c r="A6423" t="str">
        <f>T("   841821")</f>
        <v xml:space="preserve">   841821</v>
      </c>
      <c r="B6423" t="str">
        <f>T("   Réfrigérateurs ménagers à compression")</f>
        <v xml:space="preserve">   Réfrigérateurs ménagers à compression</v>
      </c>
      <c r="C6423">
        <v>6215572</v>
      </c>
      <c r="D6423">
        <v>2563.5</v>
      </c>
    </row>
    <row r="6424" spans="1:4" x14ac:dyDescent="0.25">
      <c r="A6424" t="str">
        <f>T("   841829")</f>
        <v xml:space="preserve">   841829</v>
      </c>
      <c r="B6424" t="str">
        <f>T("   Réfrigérateurs ménagers à absorption, non-électriques")</f>
        <v xml:space="preserve">   Réfrigérateurs ménagers à absorption, non-électriques</v>
      </c>
      <c r="C6424">
        <v>7650000</v>
      </c>
      <c r="D6424">
        <v>4760</v>
      </c>
    </row>
    <row r="6425" spans="1:4" x14ac:dyDescent="0.25">
      <c r="A6425" t="str">
        <f>T("   850780")</f>
        <v xml:space="preserve">   850780</v>
      </c>
      <c r="B6425" t="str">
        <f>T("   Accumulateurs électriques (sauf hors d'usage et autres qu'au plomb, au nickel-cadmium ou au nickel-fer)")</f>
        <v xml:space="preserve">   Accumulateurs électriques (sauf hors d'usage et autres qu'au plomb, au nickel-cadmium ou au nickel-fer)</v>
      </c>
      <c r="C6425">
        <v>6305003</v>
      </c>
      <c r="D6425">
        <v>21565</v>
      </c>
    </row>
    <row r="6426" spans="1:4" x14ac:dyDescent="0.25">
      <c r="A6426" t="str">
        <f>T("   851829")</f>
        <v xml:space="preserve">   851829</v>
      </c>
      <c r="B6426" t="str">
        <f>T("   Haut-parleurs sans enceinte")</f>
        <v xml:space="preserve">   Haut-parleurs sans enceinte</v>
      </c>
      <c r="C6426">
        <v>9922550</v>
      </c>
      <c r="D6426">
        <v>2643</v>
      </c>
    </row>
    <row r="6427" spans="1:4" x14ac:dyDescent="0.25">
      <c r="A6427" t="str">
        <f>T("   852190")</f>
        <v xml:space="preserve">   852190</v>
      </c>
      <c r="B6427" t="s">
        <v>458</v>
      </c>
      <c r="C6427">
        <v>19839391</v>
      </c>
      <c r="D6427">
        <v>11083</v>
      </c>
    </row>
    <row r="6428" spans="1:4" x14ac:dyDescent="0.25">
      <c r="A6428" t="str">
        <f>T("   852713")</f>
        <v xml:space="preserve">   852713</v>
      </c>
      <c r="B6428" t="str">
        <f>T("   RÉCEPTEURS DE RADIODIFFUSION POUVANT FONCTIONNER SANS SOURCE D'ÉNERGIE EXTÉRIEURE, COMBINÉS À UN APPAREIL D'ENREGISTREMENT OU DE REPRODUCTION DU SON (À L'EXCL. DES RADIOCASSETTES DE POCHE)")</f>
        <v xml:space="preserve">   RÉCEPTEURS DE RADIODIFFUSION POUVANT FONCTIONNER SANS SOURCE D'ÉNERGIE EXTÉRIEURE, COMBINÉS À UN APPAREIL D'ENREGISTREMENT OU DE REPRODUCTION DU SON (À L'EXCL. DES RADIOCASSETTES DE POCHE)</v>
      </c>
      <c r="C6428">
        <v>4469056</v>
      </c>
      <c r="D6428">
        <v>3317</v>
      </c>
    </row>
    <row r="6429" spans="1:4" x14ac:dyDescent="0.25">
      <c r="A6429" t="str">
        <f>T("   852812")</f>
        <v xml:space="preserve">   852812</v>
      </c>
      <c r="B6429"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6429">
        <v>3092272</v>
      </c>
      <c r="D6429">
        <v>2351.66</v>
      </c>
    </row>
    <row r="6430" spans="1:4" x14ac:dyDescent="0.25">
      <c r="A6430" t="str">
        <f>T("   960810")</f>
        <v xml:space="preserve">   960810</v>
      </c>
      <c r="B6430" t="str">
        <f>T("   Stylos et crayons à bille")</f>
        <v xml:space="preserve">   Stylos et crayons à bille</v>
      </c>
      <c r="C6430">
        <v>2843</v>
      </c>
      <c r="D6430">
        <v>15</v>
      </c>
    </row>
    <row r="6431" spans="1:4" x14ac:dyDescent="0.25">
      <c r="A6431" t="str">
        <f>T("IE")</f>
        <v>IE</v>
      </c>
      <c r="B6431" t="str">
        <f>T("Irlande")</f>
        <v>Irlande</v>
      </c>
    </row>
    <row r="6432" spans="1:4" x14ac:dyDescent="0.25">
      <c r="A6432" t="str">
        <f>T("   ZZ_Total_Produit_SH6")</f>
        <v xml:space="preserve">   ZZ_Total_Produit_SH6</v>
      </c>
      <c r="B6432" t="str">
        <f>T("   ZZ_Total_Produit_SH6")</f>
        <v xml:space="preserve">   ZZ_Total_Produit_SH6</v>
      </c>
      <c r="C6432">
        <v>4021128576</v>
      </c>
      <c r="D6432">
        <v>4280080</v>
      </c>
    </row>
    <row r="6433" spans="1:4" x14ac:dyDescent="0.25">
      <c r="A6433" t="str">
        <f>T("   020712")</f>
        <v xml:space="preserve">   020712</v>
      </c>
      <c r="B6433" t="str">
        <f>T("   COQS ET POULES [DES ESPÈCES DOMESTIQUES], NON-DÉCOUPÉS EN MORCEAUX, CONGELÉS")</f>
        <v xml:space="preserve">   COQS ET POULES [DES ESPÈCES DOMESTIQUES], NON-DÉCOUPÉS EN MORCEAUX, CONGELÉS</v>
      </c>
      <c r="C6433">
        <v>18660016</v>
      </c>
      <c r="D6433">
        <v>30000</v>
      </c>
    </row>
    <row r="6434" spans="1:4" x14ac:dyDescent="0.25">
      <c r="A6434" t="str">
        <f>T("   020714")</f>
        <v xml:space="preserve">   020714</v>
      </c>
      <c r="B6434" t="str">
        <f>T("   Morceaux et abats comestibles de coqs et de poules [des espèces domestiques], congelés")</f>
        <v xml:space="preserve">   Morceaux et abats comestibles de coqs et de poules [des espèces domestiques], congelés</v>
      </c>
      <c r="C6434">
        <v>214590105</v>
      </c>
      <c r="D6434">
        <v>345000</v>
      </c>
    </row>
    <row r="6435" spans="1:4" x14ac:dyDescent="0.25">
      <c r="A6435" t="str">
        <f>T("   020727")</f>
        <v xml:space="preserve">   020727</v>
      </c>
      <c r="B6435" t="str">
        <f>T("   Morceaux et abats comestibles de dindes et dindons [des espèces domestiques], congelés")</f>
        <v xml:space="preserve">   Morceaux et abats comestibles de dindes et dindons [des espèces domestiques], congelés</v>
      </c>
      <c r="C6435">
        <v>170309926</v>
      </c>
      <c r="D6435">
        <v>273810</v>
      </c>
    </row>
    <row r="6436" spans="1:4" x14ac:dyDescent="0.25">
      <c r="A6436" t="str">
        <f>T("   030379")</f>
        <v xml:space="preserve">   030379</v>
      </c>
      <c r="B6436" t="s">
        <v>15</v>
      </c>
      <c r="C6436">
        <v>67498570</v>
      </c>
      <c r="D6436">
        <v>300000</v>
      </c>
    </row>
    <row r="6437" spans="1:4" x14ac:dyDescent="0.25">
      <c r="A6437" t="str">
        <f>T("   040221")</f>
        <v xml:space="preserve">   040221</v>
      </c>
      <c r="B6437" t="str">
        <f>T("   Lait et crème de lait, en poudre, en granulés ou sous d'autres formes solides, d'une teneur en poids de matières grasses &gt; 1,5%, sans addition de sucre ou d'autres édulcorants")</f>
        <v xml:space="preserve">   Lait et crème de lait, en poudre, en granulés ou sous d'autres formes solides, d'une teneur en poids de matières grasses &gt; 1,5%, sans addition de sucre ou d'autres édulcorants</v>
      </c>
      <c r="C6437">
        <v>34985626</v>
      </c>
      <c r="D6437">
        <v>18000</v>
      </c>
    </row>
    <row r="6438" spans="1:4" x14ac:dyDescent="0.25">
      <c r="A6438" t="str">
        <f>T("   110710")</f>
        <v xml:space="preserve">   110710</v>
      </c>
      <c r="B6438" t="str">
        <f>T("   MALT, NON-TORRÉFIÉ")</f>
        <v xml:space="preserve">   MALT, NON-TORRÉFIÉ</v>
      </c>
      <c r="C6438">
        <v>203490781</v>
      </c>
      <c r="D6438">
        <v>456820</v>
      </c>
    </row>
    <row r="6439" spans="1:4" x14ac:dyDescent="0.25">
      <c r="A6439" t="str">
        <f>T("   130213")</f>
        <v xml:space="preserve">   130213</v>
      </c>
      <c r="B6439" t="str">
        <f>T("   Extraits de houblon")</f>
        <v xml:space="preserve">   Extraits de houblon</v>
      </c>
      <c r="C6439">
        <v>55984540</v>
      </c>
      <c r="D6439">
        <v>2414</v>
      </c>
    </row>
    <row r="6440" spans="1:4" x14ac:dyDescent="0.25">
      <c r="A6440" t="str">
        <f>T("   170290")</f>
        <v xml:space="preserve">   170290</v>
      </c>
      <c r="B6440" t="s">
        <v>44</v>
      </c>
      <c r="C6440">
        <v>3099916</v>
      </c>
      <c r="D6440">
        <v>2335</v>
      </c>
    </row>
    <row r="6441" spans="1:4" x14ac:dyDescent="0.25">
      <c r="A6441" t="str">
        <f>T("   210690")</f>
        <v xml:space="preserve">   210690</v>
      </c>
      <c r="B6441" t="str">
        <f>T("   Préparations alimentaires, n.d.a.")</f>
        <v xml:space="preserve">   Préparations alimentaires, n.d.a.</v>
      </c>
      <c r="C6441">
        <v>177424042</v>
      </c>
      <c r="D6441">
        <v>37874</v>
      </c>
    </row>
    <row r="6442" spans="1:4" x14ac:dyDescent="0.25">
      <c r="A6442" t="str">
        <f>T("   251200")</f>
        <v xml:space="preserve">   251200</v>
      </c>
      <c r="B6442" t="str">
        <f>T("   Farines siliceuses fossiles [kieselguhr, tripolite, diatomite, par exemple] et autres terres siliceuses analogues, d'une densité apparente &lt;= 1, même calcinées")</f>
        <v xml:space="preserve">   Farines siliceuses fossiles [kieselguhr, tripolite, diatomite, par exemple] et autres terres siliceuses analogues, d'une densité apparente &lt;= 1, même calcinées</v>
      </c>
      <c r="C6442">
        <v>24741518</v>
      </c>
      <c r="D6442">
        <v>39471</v>
      </c>
    </row>
    <row r="6443" spans="1:4" x14ac:dyDescent="0.25">
      <c r="A6443" t="str">
        <f>T("   281511")</f>
        <v xml:space="preserve">   281511</v>
      </c>
      <c r="B6443" t="str">
        <f>T("   Hydroxyde de sodium [soude caustique], solide")</f>
        <v xml:space="preserve">   Hydroxyde de sodium [soude caustique], solide</v>
      </c>
      <c r="C6443">
        <v>36935107</v>
      </c>
      <c r="D6443">
        <v>73524</v>
      </c>
    </row>
    <row r="6444" spans="1:4" x14ac:dyDescent="0.25">
      <c r="A6444" t="str">
        <f>T("   290110")</f>
        <v xml:space="preserve">   290110</v>
      </c>
      <c r="B6444" t="str">
        <f>T("   Hydrocarbures acycliques, saturés")</f>
        <v xml:space="preserve">   Hydrocarbures acycliques, saturés</v>
      </c>
      <c r="C6444">
        <v>1478258</v>
      </c>
      <c r="D6444">
        <v>17</v>
      </c>
    </row>
    <row r="6445" spans="1:4" x14ac:dyDescent="0.25">
      <c r="A6445" t="str">
        <f>T("   291814")</f>
        <v xml:space="preserve">   291814</v>
      </c>
      <c r="B6445" t="str">
        <f>T("   Acide citrique")</f>
        <v xml:space="preserve">   Acide citrique</v>
      </c>
      <c r="C6445">
        <v>11044110</v>
      </c>
      <c r="D6445">
        <v>8064</v>
      </c>
    </row>
    <row r="6446" spans="1:4" x14ac:dyDescent="0.25">
      <c r="A6446" t="str">
        <f>T("   320300")</f>
        <v xml:space="preserve">   320300</v>
      </c>
      <c r="B6446" t="s">
        <v>85</v>
      </c>
      <c r="C6446">
        <v>5959095</v>
      </c>
      <c r="D6446">
        <v>820</v>
      </c>
    </row>
    <row r="6447" spans="1:4" x14ac:dyDescent="0.25">
      <c r="A6447" t="str">
        <f>T("   330210")</f>
        <v xml:space="preserve">   330210</v>
      </c>
      <c r="B6447" t="str">
        <f>T("   Mélanges de substances odoriférantes et mélanges, y.c. les solutions alcooliques, à base d'une ou de plusieurs de ces substances, des types utilisés comme matières de base pour les industries des produits alimentaires et des boissons")</f>
        <v xml:space="preserve">   Mélanges de substances odoriférantes et mélanges, y.c. les solutions alcooliques, à base d'une ou de plusieurs de ces substances, des types utilisés comme matières de base pour les industries des produits alimentaires et des boissons</v>
      </c>
      <c r="C6447">
        <v>714864294</v>
      </c>
      <c r="D6447">
        <v>156341</v>
      </c>
    </row>
    <row r="6448" spans="1:4" x14ac:dyDescent="0.25">
      <c r="A6448" t="str">
        <f>T("   350190")</f>
        <v xml:space="preserve">   350190</v>
      </c>
      <c r="B6448" t="str">
        <f>T("   Caséinates et autres dérivés des caséines; colles de caséine (à l'excl. des produits conditionnés pour la vente au détail comme colles et d'un poids net &lt;= 1 kg)")</f>
        <v xml:space="preserve">   Caséinates et autres dérivés des caséines; colles de caséine (à l'excl. des produits conditionnés pour la vente au détail comme colles et d'un poids net &lt;= 1 kg)</v>
      </c>
      <c r="C6448">
        <v>28929200</v>
      </c>
      <c r="D6448">
        <v>9012</v>
      </c>
    </row>
    <row r="6449" spans="1:4" x14ac:dyDescent="0.25">
      <c r="A6449" t="str">
        <f>T("   350691")</f>
        <v xml:space="preserve">   350691</v>
      </c>
      <c r="B6449" t="str">
        <f>T("   Adhésifs à base de polymères du n° 3901 à 3913 ou de caoutchouc (à l'excl. des produits conditionnés pour la vente au détail comme colles ou adhésifs, d'un poids net &lt;= 1 kg)")</f>
        <v xml:space="preserve">   Adhésifs à base de polymères du n° 3901 à 3913 ou de caoutchouc (à l'excl. des produits conditionnés pour la vente au détail comme colles ou adhésifs, d'un poids net &lt;= 1 kg)</v>
      </c>
      <c r="C6449">
        <v>74601196</v>
      </c>
      <c r="D6449">
        <v>26527</v>
      </c>
    </row>
    <row r="6450" spans="1:4" x14ac:dyDescent="0.25">
      <c r="A6450" t="str">
        <f>T("   350790")</f>
        <v xml:space="preserve">   350790</v>
      </c>
      <c r="B6450" t="str">
        <f>T("   Enzymes et enzymes préparées, n.d.a. (à l'excl. de la présure et de ses concentrats)")</f>
        <v xml:space="preserve">   Enzymes et enzymes préparées, n.d.a. (à l'excl. de la présure et de ses concentrats)</v>
      </c>
      <c r="C6450">
        <v>718192</v>
      </c>
      <c r="D6450">
        <v>50</v>
      </c>
    </row>
    <row r="6451" spans="1:4" x14ac:dyDescent="0.25">
      <c r="A6451" t="str">
        <f>T("   392010")</f>
        <v xml:space="preserve">   392010</v>
      </c>
      <c r="B6451" t="s">
        <v>131</v>
      </c>
      <c r="C6451">
        <v>10555000</v>
      </c>
      <c r="D6451">
        <v>6682</v>
      </c>
    </row>
    <row r="6452" spans="1:4" x14ac:dyDescent="0.25">
      <c r="A6452" t="str">
        <f>T("   392690")</f>
        <v xml:space="preserve">   392690</v>
      </c>
      <c r="B6452" t="str">
        <f>T("   Ouvrages en matières plastiques et ouvrages en autres matières du n° 3901 à 3914, n.d.a.")</f>
        <v xml:space="preserve">   Ouvrages en matières plastiques et ouvrages en autres matières du n° 3901 à 3914, n.d.a.</v>
      </c>
      <c r="C6452">
        <v>449274</v>
      </c>
      <c r="D6452">
        <v>11</v>
      </c>
    </row>
    <row r="6453" spans="1:4" x14ac:dyDescent="0.25">
      <c r="A6453" t="str">
        <f>T("   482110")</f>
        <v xml:space="preserve">   482110</v>
      </c>
      <c r="B6453" t="str">
        <f>T("   ÉTIQUETTES DE TOUS GENRES, EN PAPIER OU EN CARTON, IMPRIMÉES")</f>
        <v xml:space="preserve">   ÉTIQUETTES DE TOUS GENRES, EN PAPIER OU EN CARTON, IMPRIMÉES</v>
      </c>
      <c r="C6453">
        <v>120114916</v>
      </c>
      <c r="D6453">
        <v>32633</v>
      </c>
    </row>
    <row r="6454" spans="1:4" x14ac:dyDescent="0.25">
      <c r="A6454" t="str">
        <f>T("   482190")</f>
        <v xml:space="preserve">   482190</v>
      </c>
      <c r="B6454" t="str">
        <f>T("   ÉTIQUETTES DE TOUS GENRES, EN PAPIER OU EN CARTON, NON-IMPRIMÉES")</f>
        <v xml:space="preserve">   ÉTIQUETTES DE TOUS GENRES, EN PAPIER OU EN CARTON, NON-IMPRIMÉES</v>
      </c>
      <c r="C6454">
        <v>20949952</v>
      </c>
      <c r="D6454">
        <v>4944</v>
      </c>
    </row>
    <row r="6455" spans="1:4" x14ac:dyDescent="0.25">
      <c r="A6455" t="str">
        <f>T("   482370")</f>
        <v xml:space="preserve">   482370</v>
      </c>
      <c r="B6455" t="str">
        <f>T("   Articles moulés ou pressés en pâte à papier, n.d.a.")</f>
        <v xml:space="preserve">   Articles moulés ou pressés en pâte à papier, n.d.a.</v>
      </c>
      <c r="C6455">
        <v>188569</v>
      </c>
      <c r="D6455">
        <v>2</v>
      </c>
    </row>
    <row r="6456" spans="1:4" x14ac:dyDescent="0.25">
      <c r="A6456" t="str">
        <f>T("   630900")</f>
        <v xml:space="preserve">   630900</v>
      </c>
      <c r="B6456" t="s">
        <v>280</v>
      </c>
      <c r="C6456">
        <v>860096239</v>
      </c>
      <c r="D6456">
        <v>1477420</v>
      </c>
    </row>
    <row r="6457" spans="1:4" x14ac:dyDescent="0.25">
      <c r="A6457" t="str">
        <f>T("   701090")</f>
        <v xml:space="preserve">   701090</v>
      </c>
      <c r="B6457" t="s">
        <v>323</v>
      </c>
      <c r="C6457">
        <v>393952911</v>
      </c>
      <c r="D6457">
        <v>810329</v>
      </c>
    </row>
    <row r="6458" spans="1:4" x14ac:dyDescent="0.25">
      <c r="A6458" t="str">
        <f>T("   760719")</f>
        <v xml:space="preserve">   760719</v>
      </c>
      <c r="B6458" t="str">
        <f>T("   Feuilles et bandes minces d'aluminium, sans support, laminées et autrement traitées, d'une épaisseur &lt;= 0,2 mm (sauf feuilles pour le marquage au fer du n° 3212 et sauf feuilles travaillées pour la décoration des sapins de Noël)")</f>
        <v xml:space="preserve">   Feuilles et bandes minces d'aluminium, sans support, laminées et autrement traitées, d'une épaisseur &lt;= 0,2 mm (sauf feuilles pour le marquage au fer du n° 3212 et sauf feuilles travaillées pour la décoration des sapins de Noël)</v>
      </c>
      <c r="C6458">
        <v>2825390</v>
      </c>
      <c r="D6458">
        <v>187</v>
      </c>
    </row>
    <row r="6459" spans="1:4" x14ac:dyDescent="0.25">
      <c r="A6459" t="str">
        <f>T("   830910")</f>
        <v xml:space="preserve">   830910</v>
      </c>
      <c r="B6459" t="str">
        <f>T("   Bouchons-couronnes en métaux communs")</f>
        <v xml:space="preserve">   Bouchons-couronnes en métaux communs</v>
      </c>
      <c r="C6459">
        <v>200811927</v>
      </c>
      <c r="D6459">
        <v>90668</v>
      </c>
    </row>
    <row r="6460" spans="1:4" x14ac:dyDescent="0.25">
      <c r="A6460" t="str">
        <f>T("   841480")</f>
        <v xml:space="preserve">   841480</v>
      </c>
      <c r="B6460" t="s">
        <v>394</v>
      </c>
      <c r="C6460">
        <v>110538004</v>
      </c>
      <c r="D6460">
        <v>3514</v>
      </c>
    </row>
    <row r="6461" spans="1:4" x14ac:dyDescent="0.25">
      <c r="A6461" t="str">
        <f>T("   841939")</f>
        <v xml:space="preserve">   841939</v>
      </c>
      <c r="B6461" t="str">
        <f>T("   Séchoirs (sauf pour produits agricoles, pâtes à papier, papier ou carton, pour fils, tissus ou autres matières textiles, pour bouteilles ou autres récipients, sèche-cheveux, sèche-mains et sauf appareils ménagers)")</f>
        <v xml:space="preserve">   Séchoirs (sauf pour produits agricoles, pâtes à papier, papier ou carton, pour fils, tissus ou autres matières textiles, pour bouteilles ou autres récipients, sèche-cheveux, sèche-mains et sauf appareils ménagers)</v>
      </c>
      <c r="C6461">
        <v>6982884</v>
      </c>
      <c r="D6461">
        <v>163</v>
      </c>
    </row>
    <row r="6462" spans="1:4" x14ac:dyDescent="0.25">
      <c r="A6462" t="str">
        <f>T("   842290")</f>
        <v xml:space="preserve">   842290</v>
      </c>
      <c r="B6462" t="str">
        <f>T("   Parties des machines à laver la vaisselle, des machines à empaqueter ou à emballer les marchandises et autres machines et appareils du n° 8422, n.d.a.")</f>
        <v xml:space="preserve">   Parties des machines à laver la vaisselle, des machines à empaqueter ou à emballer les marchandises et autres machines et appareils du n° 8422, n.d.a.</v>
      </c>
      <c r="C6462">
        <v>16853482</v>
      </c>
      <c r="D6462">
        <v>2417</v>
      </c>
    </row>
    <row r="6463" spans="1:4" x14ac:dyDescent="0.25">
      <c r="A6463" t="str">
        <f>T("   843890")</f>
        <v xml:space="preserve">   843890</v>
      </c>
      <c r="B6463" t="str">
        <f>T("   Parties des machines et appareils pour le traitement, la préparation ou la fabrication industriels d'aliments ou de boissons, n.d.a.")</f>
        <v xml:space="preserve">   Parties des machines et appareils pour le traitement, la préparation ou la fabrication industriels d'aliments ou de boissons, n.d.a.</v>
      </c>
      <c r="C6463">
        <v>144104041</v>
      </c>
      <c r="D6463">
        <v>9227</v>
      </c>
    </row>
    <row r="6464" spans="1:4" x14ac:dyDescent="0.25">
      <c r="A6464" t="str">
        <f>T("   847130")</f>
        <v xml:space="preserve">   847130</v>
      </c>
      <c r="B6464" t="str">
        <f>T("   Machines automatiques de traitement de l'information numériques, portatives, d'un poids &lt;= 10 kg, comportant au moins une unité centrale de traitement, un clavier et un écran (à l'excl. des unités périphériques)")</f>
        <v xml:space="preserve">   Machines automatiques de traitement de l'information numériques, portatives, d'un poids &lt;= 10 kg, comportant au moins une unité centrale de traitement, un clavier et un écran (à l'excl. des unités périphériques)</v>
      </c>
      <c r="C6464">
        <v>17000000</v>
      </c>
      <c r="D6464">
        <v>20000</v>
      </c>
    </row>
    <row r="6465" spans="1:4" x14ac:dyDescent="0.25">
      <c r="A6465" t="str">
        <f>T("   847160")</f>
        <v xml:space="preserve">   847160</v>
      </c>
      <c r="B6465" t="str">
        <f>T("   UNITÉS D'ENTRÉE OU DE SORTIE POUR MACHINES AUTOMATIQUES DE TRAITEMENT DE L'INFORMATION, POUVANT COMPORTER, SOUS LA MÊME ENVELOPPE, DES UNITÉS DE MÉMOIRE")</f>
        <v xml:space="preserve">   UNITÉS D'ENTRÉE OU DE SORTIE POUR MACHINES AUTOMATIQUES DE TRAITEMENT DE L'INFORMATION, POUVANT COMPORTER, SOUS LA MÊME ENVELOPPE, DES UNITÉS DE MÉMOIRE</v>
      </c>
      <c r="C6465">
        <v>33865858</v>
      </c>
      <c r="D6465">
        <v>5030</v>
      </c>
    </row>
    <row r="6466" spans="1:4" x14ac:dyDescent="0.25">
      <c r="A6466" t="str">
        <f>T("   847290")</f>
        <v xml:space="preserve">   847290</v>
      </c>
      <c r="B6466" t="str">
        <f>T("   Machines et appareils de bureau, n.d.a.")</f>
        <v xml:space="preserve">   Machines et appareils de bureau, n.d.a.</v>
      </c>
      <c r="C6466">
        <v>164836152</v>
      </c>
      <c r="D6466">
        <v>19715</v>
      </c>
    </row>
    <row r="6467" spans="1:4" x14ac:dyDescent="0.25">
      <c r="A6467" t="str">
        <f>T("   847330")</f>
        <v xml:space="preserve">   847330</v>
      </c>
      <c r="B6467" t="str">
        <f>T("   Parties et accessoires pour machines automatiques de traitement de l'information ou pour autres machines du n° 8471, n.d.a.")</f>
        <v xml:space="preserve">   Parties et accessoires pour machines automatiques de traitement de l'information ou pour autres machines du n° 8471, n.d.a.</v>
      </c>
      <c r="C6467">
        <v>24031971</v>
      </c>
      <c r="D6467">
        <v>1232</v>
      </c>
    </row>
    <row r="6468" spans="1:4" x14ac:dyDescent="0.25">
      <c r="A6468" t="str">
        <f>T("   850440")</f>
        <v xml:space="preserve">   850440</v>
      </c>
      <c r="B6468" t="str">
        <f>T("   CONVERTISSEURS STATIQUES")</f>
        <v xml:space="preserve">   CONVERTISSEURS STATIQUES</v>
      </c>
      <c r="C6468">
        <v>7163083</v>
      </c>
      <c r="D6468">
        <v>1518</v>
      </c>
    </row>
    <row r="6469" spans="1:4" x14ac:dyDescent="0.25">
      <c r="A6469" t="str">
        <f>T("   852190")</f>
        <v xml:space="preserve">   852190</v>
      </c>
      <c r="B6469" t="s">
        <v>458</v>
      </c>
      <c r="C6469">
        <v>193720</v>
      </c>
      <c r="D6469">
        <v>1610</v>
      </c>
    </row>
    <row r="6470" spans="1:4" x14ac:dyDescent="0.25">
      <c r="A6470" t="str">
        <f>T("   854210")</f>
        <v xml:space="preserve">   854210</v>
      </c>
      <c r="B6470" t="str">
        <f>T("   Cartes munies d'un circuit intégré électronique [cartes intelligentes], munies ou non d'une piste magnétique")</f>
        <v xml:space="preserve">   Cartes munies d'un circuit intégré électronique [cartes intelligentes], munies ou non d'une piste magnétique</v>
      </c>
      <c r="C6470">
        <v>22129001</v>
      </c>
      <c r="D6470">
        <v>3820</v>
      </c>
    </row>
    <row r="6471" spans="1:4" x14ac:dyDescent="0.25">
      <c r="A6471" t="str">
        <f>T("   870322")</f>
        <v xml:space="preserve">   870322</v>
      </c>
      <c r="B6471" t="s">
        <v>475</v>
      </c>
      <c r="C6471">
        <v>4601356</v>
      </c>
      <c r="D6471">
        <v>1200</v>
      </c>
    </row>
    <row r="6472" spans="1:4" x14ac:dyDescent="0.25">
      <c r="A6472" t="str">
        <f>T("   871640")</f>
        <v xml:space="preserve">   871640</v>
      </c>
      <c r="B6472" t="str">
        <f>T("   Remorques ne circulant pas sur rails (à l'excl. des remorques pour le transport de marchandises et remorques pour l'habitation ou le camping, du type caravane)")</f>
        <v xml:space="preserve">   Remorques ne circulant pas sur rails (à l'excl. des remorques pour le transport de marchandises et remorques pour l'habitation ou le camping, du type caravane)</v>
      </c>
      <c r="C6472">
        <v>2000000</v>
      </c>
      <c r="D6472">
        <v>7492</v>
      </c>
    </row>
    <row r="6473" spans="1:4" x14ac:dyDescent="0.25">
      <c r="A6473" t="str">
        <f>T("   903180")</f>
        <v xml:space="preserve">   903180</v>
      </c>
      <c r="B6473" t="str">
        <f>T("   INSTRUMENTS, APPAREILS ET MACHINES DE MESURE OU DE CONTRÔLE, NON-OPTIQUES, N.D.A. DANS LE PRÉSENT CHAPITRE")</f>
        <v xml:space="preserve">   INSTRUMENTS, APPAREILS ET MACHINES DE MESURE OU DE CONTRÔLE, NON-OPTIQUES, N.D.A. DANS LE PRÉSENT CHAPITRE</v>
      </c>
      <c r="C6473">
        <v>4559532</v>
      </c>
      <c r="D6473">
        <v>106</v>
      </c>
    </row>
    <row r="6474" spans="1:4" x14ac:dyDescent="0.25">
      <c r="A6474" t="str">
        <f>T("   903210")</f>
        <v xml:space="preserve">   903210</v>
      </c>
      <c r="B6474" t="str">
        <f>T("   Thermostats pour la régulation ou le contrôle automatiques")</f>
        <v xml:space="preserve">   Thermostats pour la régulation ou le contrôle automatiques</v>
      </c>
      <c r="C6474">
        <v>7010822</v>
      </c>
      <c r="D6474">
        <v>81</v>
      </c>
    </row>
    <row r="6475" spans="1:4" x14ac:dyDescent="0.25">
      <c r="A6475" t="str">
        <f>T("IL")</f>
        <v>IL</v>
      </c>
      <c r="B6475" t="str">
        <f>T("Israël")</f>
        <v>Israël</v>
      </c>
    </row>
    <row r="6476" spans="1:4" x14ac:dyDescent="0.25">
      <c r="A6476" t="str">
        <f>T("   ZZ_Total_Produit_SH6")</f>
        <v xml:space="preserve">   ZZ_Total_Produit_SH6</v>
      </c>
      <c r="B6476" t="str">
        <f>T("   ZZ_Total_Produit_SH6")</f>
        <v xml:space="preserve">   ZZ_Total_Produit_SH6</v>
      </c>
      <c r="C6476">
        <v>453146649</v>
      </c>
      <c r="D6476">
        <v>609236</v>
      </c>
    </row>
    <row r="6477" spans="1:4" x14ac:dyDescent="0.25">
      <c r="A6477" t="str">
        <f>T("   020727")</f>
        <v xml:space="preserve">   020727</v>
      </c>
      <c r="B6477" t="str">
        <f>T("   Morceaux et abats comestibles de dindes et dindons [des espèces domestiques], congelés")</f>
        <v xml:space="preserve">   Morceaux et abats comestibles de dindes et dindons [des espèces domestiques], congelés</v>
      </c>
      <c r="C6477">
        <v>14433711</v>
      </c>
      <c r="D6477">
        <v>23205</v>
      </c>
    </row>
    <row r="6478" spans="1:4" x14ac:dyDescent="0.25">
      <c r="A6478" t="str">
        <f>T("   050400")</f>
        <v xml:space="preserve">   050400</v>
      </c>
      <c r="B6478" t="str">
        <f>T("   Boyaux, vessies et estomacs d'animaux (autres que ceux de poissons), entiers ou en morceaux, à l'état frais, réfrigéré, congelé, salé ou en saumure, séché ou fumé")</f>
        <v xml:space="preserve">   Boyaux, vessies et estomacs d'animaux (autres que ceux de poissons), entiers ou en morceaux, à l'état frais, réfrigéré, congelé, salé ou en saumure, séché ou fumé</v>
      </c>
      <c r="C6478">
        <v>2153635</v>
      </c>
      <c r="D6478">
        <v>1795</v>
      </c>
    </row>
    <row r="6479" spans="1:4" x14ac:dyDescent="0.25">
      <c r="A6479" t="str">
        <f>T("   271011")</f>
        <v xml:space="preserve">   271011</v>
      </c>
      <c r="B6479" t="str">
        <f>T("   HUILES LÉGÈRES ET PRÉPARATIONS DE PÉTROLE OU DE MINÉRAUX BITUMINEUX DISTILLANT EN VOLUME, Y.C. LES PERTES, &gt;= 90% À 210°C, D'APRÈS LA MÉTHODE ASTM D 86")</f>
        <v xml:space="preserve">   HUILES LÉGÈRES ET PRÉPARATIONS DE PÉTROLE OU DE MINÉRAUX BITUMINEUX DISTILLANT EN VOLUME, Y.C. LES PERTES, &gt;= 90% À 210°C, D'APRÈS LA MÉTHODE ASTM D 86</v>
      </c>
      <c r="C6479">
        <v>23400330</v>
      </c>
      <c r="D6479">
        <v>67512</v>
      </c>
    </row>
    <row r="6480" spans="1:4" x14ac:dyDescent="0.25">
      <c r="A6480" t="str">
        <f>T("   271019")</f>
        <v xml:space="preserve">   271019</v>
      </c>
      <c r="B6480" t="str">
        <f>T("   Huiles moyennes et préparations, de pétrole ou de minéraux bitumineux, n.d.a.")</f>
        <v xml:space="preserve">   Huiles moyennes et préparations, de pétrole ou de minéraux bitumineux, n.d.a.</v>
      </c>
      <c r="C6480">
        <v>2531796</v>
      </c>
      <c r="D6480">
        <v>10752</v>
      </c>
    </row>
    <row r="6481" spans="1:4" x14ac:dyDescent="0.25">
      <c r="A6481" t="str">
        <f>T("   300490")</f>
        <v xml:space="preserve">   300490</v>
      </c>
      <c r="B6481" t="s">
        <v>78</v>
      </c>
      <c r="C6481">
        <v>6044672</v>
      </c>
      <c r="D6481">
        <v>275</v>
      </c>
    </row>
    <row r="6482" spans="1:4" x14ac:dyDescent="0.25">
      <c r="A6482" t="str">
        <f>T("   490199")</f>
        <v xml:space="preserve">   490199</v>
      </c>
      <c r="B6482"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6482">
        <v>6471225</v>
      </c>
      <c r="D6482">
        <v>12000</v>
      </c>
    </row>
    <row r="6483" spans="1:4" x14ac:dyDescent="0.25">
      <c r="A6483" t="str">
        <f>T("   630900")</f>
        <v xml:space="preserve">   630900</v>
      </c>
      <c r="B6483" t="s">
        <v>280</v>
      </c>
      <c r="C6483">
        <v>200856750</v>
      </c>
      <c r="D6483">
        <v>411059</v>
      </c>
    </row>
    <row r="6484" spans="1:4" x14ac:dyDescent="0.25">
      <c r="A6484" t="str">
        <f>T("   640299")</f>
        <v xml:space="preserve">   640299</v>
      </c>
      <c r="B6484" t="s">
        <v>285</v>
      </c>
      <c r="C6484">
        <v>8800359</v>
      </c>
      <c r="D6484">
        <v>20000</v>
      </c>
    </row>
    <row r="6485" spans="1:4" x14ac:dyDescent="0.25">
      <c r="A6485" t="str">
        <f>T("   841829")</f>
        <v xml:space="preserve">   841829</v>
      </c>
      <c r="B6485" t="str">
        <f>T("   Réfrigérateurs ménagers à absorption, non-électriques")</f>
        <v xml:space="preserve">   Réfrigérateurs ménagers à absorption, non-électriques</v>
      </c>
      <c r="C6485">
        <v>250000</v>
      </c>
      <c r="D6485">
        <v>4000</v>
      </c>
    </row>
    <row r="6486" spans="1:4" x14ac:dyDescent="0.25">
      <c r="A6486" t="str">
        <f>T("   847989")</f>
        <v xml:space="preserve">   847989</v>
      </c>
      <c r="B6486" t="str">
        <f>T("   Machines et appareils, y.c. les appareils mécaniques, n.d.a.")</f>
        <v xml:space="preserve">   Machines et appareils, y.c. les appareils mécaniques, n.d.a.</v>
      </c>
      <c r="C6486">
        <v>183039233</v>
      </c>
      <c r="D6486">
        <v>52514</v>
      </c>
    </row>
    <row r="6487" spans="1:4" x14ac:dyDescent="0.25">
      <c r="A6487" t="str">
        <f>T("   850239")</f>
        <v xml:space="preserve">   850239</v>
      </c>
      <c r="B6487" t="str">
        <f>T("   Groupes électrogènes (autres qu'à énergie éolienne et à moteurs à piston)")</f>
        <v xml:space="preserve">   Groupes électrogènes (autres qu'à énergie éolienne et à moteurs à piston)</v>
      </c>
      <c r="C6487">
        <v>250000</v>
      </c>
      <c r="D6487">
        <v>2000</v>
      </c>
    </row>
    <row r="6488" spans="1:4" x14ac:dyDescent="0.25">
      <c r="A6488" t="str">
        <f>T("   852812")</f>
        <v xml:space="preserve">   852812</v>
      </c>
      <c r="B6488"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6488">
        <v>227000</v>
      </c>
      <c r="D6488">
        <v>2000</v>
      </c>
    </row>
    <row r="6489" spans="1:4" x14ac:dyDescent="0.25">
      <c r="A6489" t="str">
        <f>T("   870322")</f>
        <v xml:space="preserve">   870322</v>
      </c>
      <c r="B6489" t="s">
        <v>475</v>
      </c>
      <c r="C6489">
        <v>2400000</v>
      </c>
      <c r="D6489">
        <v>2000</v>
      </c>
    </row>
    <row r="6490" spans="1:4" x14ac:dyDescent="0.25">
      <c r="A6490" t="str">
        <f>T("   901890")</f>
        <v xml:space="preserve">   901890</v>
      </c>
      <c r="B6490" t="str">
        <f>T("   Instruments et appareils pour la médecine, la chirurgie ou l'art vétérinaire, n.d.a.")</f>
        <v xml:space="preserve">   Instruments et appareils pour la médecine, la chirurgie ou l'art vétérinaire, n.d.a.</v>
      </c>
      <c r="C6490">
        <v>2287938</v>
      </c>
      <c r="D6490">
        <v>124</v>
      </c>
    </row>
    <row r="6491" spans="1:4" x14ac:dyDescent="0.25">
      <c r="A6491" t="str">
        <f>T("IN")</f>
        <v>IN</v>
      </c>
      <c r="B6491" t="str">
        <f>T("Inde")</f>
        <v>Inde</v>
      </c>
    </row>
    <row r="6492" spans="1:4" x14ac:dyDescent="0.25">
      <c r="A6492" t="str">
        <f>T("   ZZ_Total_Produit_SH6")</f>
        <v xml:space="preserve">   ZZ_Total_Produit_SH6</v>
      </c>
      <c r="B6492" t="str">
        <f>T("   ZZ_Total_Produit_SH6")</f>
        <v xml:space="preserve">   ZZ_Total_Produit_SH6</v>
      </c>
      <c r="C6492">
        <v>50291191294.194</v>
      </c>
      <c r="D6492">
        <v>158481734.09999999</v>
      </c>
    </row>
    <row r="6493" spans="1:4" x14ac:dyDescent="0.25">
      <c r="A6493" t="str">
        <f>T("   020230")</f>
        <v xml:space="preserve">   020230</v>
      </c>
      <c r="B6493" t="str">
        <f>T("   Viandes désossées de bovins, congelées")</f>
        <v xml:space="preserve">   Viandes désossées de bovins, congelées</v>
      </c>
      <c r="C6493">
        <v>17727000</v>
      </c>
      <c r="D6493">
        <v>28500</v>
      </c>
    </row>
    <row r="6494" spans="1:4" x14ac:dyDescent="0.25">
      <c r="A6494" t="str">
        <f>T("   020629")</f>
        <v xml:space="preserve">   020629</v>
      </c>
      <c r="B6494" t="str">
        <f>T("   Abats comestibles de bovins, congelés (à l'excl. des langues et des foies)")</f>
        <v xml:space="preserve">   Abats comestibles de bovins, congelés (à l'excl. des langues et des foies)</v>
      </c>
      <c r="C6494">
        <v>161098036</v>
      </c>
      <c r="D6494">
        <v>259000</v>
      </c>
    </row>
    <row r="6495" spans="1:4" x14ac:dyDescent="0.25">
      <c r="A6495" t="str">
        <f>T("   020690")</f>
        <v xml:space="preserve">   020690</v>
      </c>
      <c r="B6495" t="str">
        <f>T("   Abats comestibles des animaux des espèces ovine, caprine, chevaline, asine ou mulassière, congelés")</f>
        <v xml:space="preserve">   Abats comestibles des animaux des espèces ovine, caprine, chevaline, asine ou mulassière, congelés</v>
      </c>
      <c r="C6495">
        <v>46650032</v>
      </c>
      <c r="D6495">
        <v>75000</v>
      </c>
    </row>
    <row r="6496" spans="1:4" x14ac:dyDescent="0.25">
      <c r="A6496" t="str">
        <f>T("   020890")</f>
        <v xml:space="preserve">   020890</v>
      </c>
      <c r="B6496" t="s">
        <v>13</v>
      </c>
      <c r="C6496">
        <v>15550188</v>
      </c>
      <c r="D6496">
        <v>28000</v>
      </c>
    </row>
    <row r="6497" spans="1:4" x14ac:dyDescent="0.25">
      <c r="A6497" t="str">
        <f>T("   030329")</f>
        <v xml:space="preserve">   030329</v>
      </c>
      <c r="B6497" t="str">
        <f>T("   Salmonidés, congelés (à l'excl. des saumons du Pacifique, de l'Atlantique et du Danube ainsi que des truites)")</f>
        <v xml:space="preserve">   Salmonidés, congelés (à l'excl. des saumons du Pacifique, de l'Atlantique et du Danube ainsi que des truites)</v>
      </c>
      <c r="C6497">
        <v>6075502</v>
      </c>
      <c r="D6497">
        <v>28350</v>
      </c>
    </row>
    <row r="6498" spans="1:4" x14ac:dyDescent="0.25">
      <c r="A6498" t="str">
        <f>T("   090111")</f>
        <v xml:space="preserve">   090111</v>
      </c>
      <c r="B6498" t="str">
        <f>T("   Café, non torréfié, non décaféiné")</f>
        <v xml:space="preserve">   Café, non torréfié, non décaféiné</v>
      </c>
      <c r="C6498">
        <v>5403693</v>
      </c>
      <c r="D6498">
        <v>15960</v>
      </c>
    </row>
    <row r="6499" spans="1:4" x14ac:dyDescent="0.25">
      <c r="A6499" t="str">
        <f>T("   090121")</f>
        <v xml:space="preserve">   090121</v>
      </c>
      <c r="B6499" t="str">
        <f>T("   Café, torréfié, non décaféiné")</f>
        <v xml:space="preserve">   Café, torréfié, non décaféiné</v>
      </c>
      <c r="C6499">
        <v>10805028</v>
      </c>
      <c r="D6499">
        <v>17442</v>
      </c>
    </row>
    <row r="6500" spans="1:4" x14ac:dyDescent="0.25">
      <c r="A6500" t="str">
        <f>T("   090190")</f>
        <v xml:space="preserve">   090190</v>
      </c>
      <c r="B6500" t="str">
        <f>T("   Coques et pellicules de café; succédanés du café contenant du café, quelles que soient les proportions du mélange")</f>
        <v xml:space="preserve">   Coques et pellicules de café; succédanés du café contenant du café, quelles que soient les proportions du mélange</v>
      </c>
      <c r="C6500">
        <v>3495535</v>
      </c>
      <c r="D6500">
        <v>6600</v>
      </c>
    </row>
    <row r="6501" spans="1:4" x14ac:dyDescent="0.25">
      <c r="A6501" t="str">
        <f>T("   090210")</f>
        <v xml:space="preserve">   090210</v>
      </c>
      <c r="B6501" t="str">
        <f>T("   Thé vert [thé non fermenté], présenté en emballages immédiats d'un contenu &lt;= 3 kg")</f>
        <v xml:space="preserve">   Thé vert [thé non fermenté], présenté en emballages immédiats d'un contenu &lt;= 3 kg</v>
      </c>
      <c r="C6501">
        <v>4640000</v>
      </c>
      <c r="D6501">
        <v>4906</v>
      </c>
    </row>
    <row r="6502" spans="1:4" x14ac:dyDescent="0.25">
      <c r="A6502" t="str">
        <f>T("   090230")</f>
        <v xml:space="preserve">   090230</v>
      </c>
      <c r="B6502" t="s">
        <v>24</v>
      </c>
      <c r="C6502">
        <v>101244</v>
      </c>
      <c r="D6502">
        <v>42</v>
      </c>
    </row>
    <row r="6503" spans="1:4" x14ac:dyDescent="0.25">
      <c r="A6503" t="str">
        <f>T("   090240")</f>
        <v xml:space="preserve">   090240</v>
      </c>
      <c r="B6503" t="s">
        <v>25</v>
      </c>
      <c r="C6503">
        <v>14518000</v>
      </c>
      <c r="D6503">
        <v>22180</v>
      </c>
    </row>
    <row r="6504" spans="1:4" x14ac:dyDescent="0.25">
      <c r="A6504" t="str">
        <f>T("   091099")</f>
        <v xml:space="preserve">   091099</v>
      </c>
      <c r="B6504" t="s">
        <v>26</v>
      </c>
      <c r="C6504">
        <v>653815</v>
      </c>
      <c r="D6504">
        <v>222</v>
      </c>
    </row>
    <row r="6505" spans="1:4" x14ac:dyDescent="0.25">
      <c r="A6505" t="str">
        <f>T("   100610")</f>
        <v xml:space="preserve">   100610</v>
      </c>
      <c r="B6505" t="str">
        <f>T("   Riz en paille [riz paddy]")</f>
        <v xml:space="preserve">   Riz en paille [riz paddy]</v>
      </c>
      <c r="C6505">
        <v>20403366</v>
      </c>
      <c r="D6505">
        <v>406250</v>
      </c>
    </row>
    <row r="6506" spans="1:4" x14ac:dyDescent="0.25">
      <c r="A6506" t="str">
        <f>T("   100620")</f>
        <v xml:space="preserve">   100620</v>
      </c>
      <c r="B6506" t="str">
        <f>T("   Riz décortiqué [riz cargo ou riz brun]")</f>
        <v xml:space="preserve">   Riz décortiqué [riz cargo ou riz brun]</v>
      </c>
      <c r="C6506">
        <v>1128410774.5409999</v>
      </c>
      <c r="D6506">
        <v>2059255</v>
      </c>
    </row>
    <row r="6507" spans="1:4" x14ac:dyDescent="0.25">
      <c r="A6507" t="str">
        <f>T("   100630")</f>
        <v xml:space="preserve">   100630</v>
      </c>
      <c r="B6507" t="str">
        <f>T("   Riz semi-blanchi ou blanchi, même poli ou glacé")</f>
        <v xml:space="preserve">   Riz semi-blanchi ou blanchi, même poli ou glacé</v>
      </c>
      <c r="C6507">
        <v>37866697976.197998</v>
      </c>
      <c r="D6507">
        <v>135519165</v>
      </c>
    </row>
    <row r="6508" spans="1:4" x14ac:dyDescent="0.25">
      <c r="A6508" t="str">
        <f>T("   100640")</f>
        <v xml:space="preserve">   100640</v>
      </c>
      <c r="B6508" t="str">
        <f>T("   Riz en brisures")</f>
        <v xml:space="preserve">   Riz en brisures</v>
      </c>
      <c r="C6508">
        <v>369779810.301</v>
      </c>
      <c r="D6508">
        <v>1246111</v>
      </c>
    </row>
    <row r="6509" spans="1:4" x14ac:dyDescent="0.25">
      <c r="A6509" t="str">
        <f>T("   110100")</f>
        <v xml:space="preserve">   110100</v>
      </c>
      <c r="B6509" t="str">
        <f>T("   Farines de froment [blé] ou de méteil")</f>
        <v xml:space="preserve">   Farines de froment [blé] ou de méteil</v>
      </c>
      <c r="C6509">
        <v>4370711.1550000003</v>
      </c>
      <c r="D6509">
        <v>16156</v>
      </c>
    </row>
    <row r="6510" spans="1:4" x14ac:dyDescent="0.25">
      <c r="A6510" t="str">
        <f>T("   110319")</f>
        <v xml:space="preserve">   110319</v>
      </c>
      <c r="B6510" t="str">
        <f>T("   Gruaux et semoules de céréales (à l'excl. des gruaux et semoules de froment [blé] et de maïs)")</f>
        <v xml:space="preserve">   Gruaux et semoules de céréales (à l'excl. des gruaux et semoules de froment [blé] et de maïs)</v>
      </c>
      <c r="C6510">
        <v>1277468</v>
      </c>
      <c r="D6510">
        <v>1701</v>
      </c>
    </row>
    <row r="6511" spans="1:4" x14ac:dyDescent="0.25">
      <c r="A6511" t="str">
        <f>T("   120100")</f>
        <v xml:space="preserve">   120100</v>
      </c>
      <c r="B6511" t="str">
        <f>T("   Fèves de soja, même concassées")</f>
        <v xml:space="preserve">   Fèves de soja, même concassées</v>
      </c>
      <c r="C6511">
        <v>129961</v>
      </c>
      <c r="D6511">
        <v>158</v>
      </c>
    </row>
    <row r="6512" spans="1:4" x14ac:dyDescent="0.25">
      <c r="A6512" t="str">
        <f>T("   151710")</f>
        <v xml:space="preserve">   151710</v>
      </c>
      <c r="B6512" t="str">
        <f>T("   Margarine (à l'excl. de la margarine liquide)")</f>
        <v xml:space="preserve">   Margarine (à l'excl. de la margarine liquide)</v>
      </c>
      <c r="C6512">
        <v>9400000</v>
      </c>
      <c r="D6512">
        <v>42820</v>
      </c>
    </row>
    <row r="6513" spans="1:4" x14ac:dyDescent="0.25">
      <c r="A6513" t="str">
        <f>T("   160413")</f>
        <v xml:space="preserve">   160413</v>
      </c>
      <c r="B6513" t="str">
        <f>T("   Préparations et conserves de sardines, sardinelles, sprats ou esprots, entiers ou en morceaux (à l'excl. des préparations et conserves de poissons hachés)")</f>
        <v xml:space="preserve">   Préparations et conserves de sardines, sardinelles, sprats ou esprots, entiers ou en morceaux (à l'excl. des préparations et conserves de poissons hachés)</v>
      </c>
      <c r="C6513">
        <v>9051625</v>
      </c>
      <c r="D6513">
        <v>26400</v>
      </c>
    </row>
    <row r="6514" spans="1:4" x14ac:dyDescent="0.25">
      <c r="A6514" t="str">
        <f>T("   170290")</f>
        <v xml:space="preserve">   170290</v>
      </c>
      <c r="B6514" t="s">
        <v>44</v>
      </c>
      <c r="C6514">
        <v>142273</v>
      </c>
      <c r="D6514">
        <v>125</v>
      </c>
    </row>
    <row r="6515" spans="1:4" x14ac:dyDescent="0.25">
      <c r="A6515" t="str">
        <f>T("   170490")</f>
        <v xml:space="preserve">   170490</v>
      </c>
      <c r="B6515" t="str">
        <f>T("   Sucreries sans cacao, y.c. le chocolat blanc (à l'excl. des gommes à mâcher)")</f>
        <v xml:space="preserve">   Sucreries sans cacao, y.c. le chocolat blanc (à l'excl. des gommes à mâcher)</v>
      </c>
      <c r="C6515">
        <v>164136383</v>
      </c>
      <c r="D6515">
        <v>832011</v>
      </c>
    </row>
    <row r="6516" spans="1:4" x14ac:dyDescent="0.25">
      <c r="A6516" t="str">
        <f>T("   180500")</f>
        <v xml:space="preserve">   180500</v>
      </c>
      <c r="B6516" t="str">
        <f>T("   Poudre de cacao, sans addition de sucre ou d'autres édulcorants")</f>
        <v xml:space="preserve">   Poudre de cacao, sans addition de sucre ou d'autres édulcorants</v>
      </c>
      <c r="C6516">
        <v>5402627</v>
      </c>
      <c r="D6516">
        <v>19509</v>
      </c>
    </row>
    <row r="6517" spans="1:4" x14ac:dyDescent="0.25">
      <c r="A6517" t="str">
        <f>T("   180610")</f>
        <v xml:space="preserve">   180610</v>
      </c>
      <c r="B6517" t="str">
        <f>T("   Poudre de cacao, additionnée de sucre ou d'autres édulcorants")</f>
        <v xml:space="preserve">   Poudre de cacao, additionnée de sucre ou d'autres édulcorants</v>
      </c>
      <c r="C6517">
        <v>27488520</v>
      </c>
      <c r="D6517">
        <v>47300</v>
      </c>
    </row>
    <row r="6518" spans="1:4" x14ac:dyDescent="0.25">
      <c r="A6518" t="str">
        <f>T("   180690")</f>
        <v xml:space="preserve">   180690</v>
      </c>
      <c r="B6518" t="str">
        <f>T("   Chocolat et autres préparations alimentaires contenant du cacao, en récipients ou en emballages immédiats d'un contenu &lt;= 2 kg (à l'excl. de la poudre de cacao et des produits présentés en tablettes, barres ou bâtons)")</f>
        <v xml:space="preserve">   Chocolat et autres préparations alimentaires contenant du cacao, en récipients ou en emballages immédiats d'un contenu &lt;= 2 kg (à l'excl. de la poudre de cacao et des produits présentés en tablettes, barres ou bâtons)</v>
      </c>
      <c r="C6518">
        <v>93783</v>
      </c>
      <c r="D6518">
        <v>490</v>
      </c>
    </row>
    <row r="6519" spans="1:4" x14ac:dyDescent="0.25">
      <c r="A6519" t="str">
        <f>T("   190120")</f>
        <v xml:space="preserve">   190120</v>
      </c>
      <c r="B6519" t="s">
        <v>47</v>
      </c>
      <c r="C6519">
        <v>1274654</v>
      </c>
      <c r="D6519">
        <v>1542</v>
      </c>
    </row>
    <row r="6520" spans="1:4" x14ac:dyDescent="0.25">
      <c r="A6520" t="str">
        <f>T("   190190")</f>
        <v xml:space="preserve">   190190</v>
      </c>
      <c r="B6520" t="s">
        <v>48</v>
      </c>
      <c r="C6520">
        <v>5410000</v>
      </c>
      <c r="D6520">
        <v>16299</v>
      </c>
    </row>
    <row r="6521" spans="1:4" x14ac:dyDescent="0.25">
      <c r="A6521" t="str">
        <f>T("   190219")</f>
        <v xml:space="preserve">   190219</v>
      </c>
      <c r="B6521" t="str">
        <f>T("   PÂTES ALIMENTAIRES NON-CUITES NI FARCIES NI AUTREMENT PRÉPARÉES, NE CONTENANT PAS D'OEUFS")</f>
        <v xml:space="preserve">   PÂTES ALIMENTAIRES NON-CUITES NI FARCIES NI AUTREMENT PRÉPARÉES, NE CONTENANT PAS D'OEUFS</v>
      </c>
      <c r="C6521">
        <v>3567471</v>
      </c>
      <c r="D6521">
        <v>3655</v>
      </c>
    </row>
    <row r="6522" spans="1:4" x14ac:dyDescent="0.25">
      <c r="A6522" t="str">
        <f>T("   190531")</f>
        <v xml:space="preserve">   190531</v>
      </c>
      <c r="B6522" t="str">
        <f>T("   Biscuits additionnés d'édulcorants")</f>
        <v xml:space="preserve">   Biscuits additionnés d'édulcorants</v>
      </c>
      <c r="C6522">
        <v>137860146</v>
      </c>
      <c r="D6522">
        <v>538700</v>
      </c>
    </row>
    <row r="6523" spans="1:4" x14ac:dyDescent="0.25">
      <c r="A6523" t="str">
        <f>T("   190590")</f>
        <v xml:space="preserve">   190590</v>
      </c>
      <c r="B6523" t="s">
        <v>50</v>
      </c>
      <c r="C6523">
        <v>67292984</v>
      </c>
      <c r="D6523">
        <v>237206</v>
      </c>
    </row>
    <row r="6524" spans="1:4" x14ac:dyDescent="0.25">
      <c r="A6524" t="str">
        <f>T("   200290")</f>
        <v xml:space="preserve">   200290</v>
      </c>
      <c r="B6524" t="str">
        <f>T("   Tomates, préparées ou conservées autrement qu'au vinaigre ou à l'acide acétique (à l'excl. des tomates entières ou en morceaux)")</f>
        <v xml:space="preserve">   Tomates, préparées ou conservées autrement qu'au vinaigre ou à l'acide acétique (à l'excl. des tomates entières ou en morceaux)</v>
      </c>
      <c r="C6524">
        <v>34548101</v>
      </c>
      <c r="D6524">
        <v>82324</v>
      </c>
    </row>
    <row r="6525" spans="1:4" x14ac:dyDescent="0.25">
      <c r="A6525" t="str">
        <f>T("   200799")</f>
        <v xml:space="preserve">   200799</v>
      </c>
      <c r="B6525" t="s">
        <v>53</v>
      </c>
      <c r="C6525">
        <v>817293</v>
      </c>
      <c r="D6525">
        <v>1087</v>
      </c>
    </row>
    <row r="6526" spans="1:4" x14ac:dyDescent="0.25">
      <c r="A6526" t="str">
        <f>T("   210111")</f>
        <v xml:space="preserve">   210111</v>
      </c>
      <c r="B6526" t="str">
        <f>T("   Extraits, essences et concentrés de café")</f>
        <v xml:space="preserve">   Extraits, essences et concentrés de café</v>
      </c>
      <c r="C6526">
        <v>20673407</v>
      </c>
      <c r="D6526">
        <v>6000</v>
      </c>
    </row>
    <row r="6527" spans="1:4" x14ac:dyDescent="0.25">
      <c r="A6527" t="str">
        <f>T("   210390")</f>
        <v xml:space="preserve">   210390</v>
      </c>
      <c r="B6527" t="str">
        <f>T("   Préparations pour sauces et sauces préparées; condiments et assaisonnements, composés (à l'excl. de la sauce de soja, du tomato ketchup et autres sauces tomates, de la farine de moutarde et de la moutarde préparée)")</f>
        <v xml:space="preserve">   Préparations pour sauces et sauces préparées; condiments et assaisonnements, composés (à l'excl. de la sauce de soja, du tomato ketchup et autres sauces tomates, de la farine de moutarde et de la moutarde préparée)</v>
      </c>
      <c r="C6527">
        <v>1664457</v>
      </c>
      <c r="D6527">
        <v>3712</v>
      </c>
    </row>
    <row r="6528" spans="1:4" x14ac:dyDescent="0.25">
      <c r="A6528" t="str">
        <f>T("   210410")</f>
        <v xml:space="preserve">   210410</v>
      </c>
      <c r="B6528" t="str">
        <f>T("   Préparations pour soupes, potages ou bouillons; soupes, potages ou bouillons préparés")</f>
        <v xml:space="preserve">   Préparations pour soupes, potages ou bouillons; soupes, potages ou bouillons préparés</v>
      </c>
      <c r="C6528">
        <v>22424</v>
      </c>
      <c r="D6528">
        <v>300</v>
      </c>
    </row>
    <row r="6529" spans="1:4" x14ac:dyDescent="0.25">
      <c r="A6529" t="str">
        <f>T("   210610")</f>
        <v xml:space="preserve">   210610</v>
      </c>
      <c r="B6529" t="str">
        <f>T("   Concentrats de protéines et substances protéiques texturées")</f>
        <v xml:space="preserve">   Concentrats de protéines et substances protéiques texturées</v>
      </c>
      <c r="C6529">
        <v>100000</v>
      </c>
      <c r="D6529">
        <v>43</v>
      </c>
    </row>
    <row r="6530" spans="1:4" x14ac:dyDescent="0.25">
      <c r="A6530" t="str">
        <f>T("   210690")</f>
        <v xml:space="preserve">   210690</v>
      </c>
      <c r="B6530" t="str">
        <f>T("   Préparations alimentaires, n.d.a.")</f>
        <v xml:space="preserve">   Préparations alimentaires, n.d.a.</v>
      </c>
      <c r="C6530">
        <v>3475095</v>
      </c>
      <c r="D6530">
        <v>3889</v>
      </c>
    </row>
    <row r="6531" spans="1:4" x14ac:dyDescent="0.25">
      <c r="A6531" t="str">
        <f>T("   220290")</f>
        <v xml:space="preserve">   220290</v>
      </c>
      <c r="B6531" t="str">
        <f>T("   BOISSONS NON-ALCOOLIQUES (À L'EXCL. DES EAUX, DES JUS DE FRUITS OU DE LÉGUMES AINSI QUE DU LAIT)")</f>
        <v xml:space="preserve">   BOISSONS NON-ALCOOLIQUES (À L'EXCL. DES EAUX, DES JUS DE FRUITS OU DE LÉGUMES AINSI QUE DU LAIT)</v>
      </c>
      <c r="C6531">
        <v>992220</v>
      </c>
      <c r="D6531">
        <v>1519</v>
      </c>
    </row>
    <row r="6532" spans="1:4" x14ac:dyDescent="0.25">
      <c r="A6532" t="str">
        <f>T("   220710")</f>
        <v xml:space="preserve">   220710</v>
      </c>
      <c r="B6532" t="str">
        <f>T("   Alcool éthylique non dénaturé d'un titre alcoométrique volumique &gt;= 80% vol")</f>
        <v xml:space="preserve">   Alcool éthylique non dénaturé d'un titre alcoométrique volumique &gt;= 80% vol</v>
      </c>
      <c r="C6532">
        <v>8040329</v>
      </c>
      <c r="D6532">
        <v>33600</v>
      </c>
    </row>
    <row r="6533" spans="1:4" x14ac:dyDescent="0.25">
      <c r="A6533" t="str">
        <f>T("   220820")</f>
        <v xml:space="preserve">   220820</v>
      </c>
      <c r="B6533" t="str">
        <f>T("   Eaux-de-vie de vin ou de marc de raisins")</f>
        <v xml:space="preserve">   Eaux-de-vie de vin ou de marc de raisins</v>
      </c>
      <c r="C6533">
        <v>1069430</v>
      </c>
      <c r="D6533">
        <v>3124</v>
      </c>
    </row>
    <row r="6534" spans="1:4" x14ac:dyDescent="0.25">
      <c r="A6534" t="str">
        <f>T("   220830")</f>
        <v xml:space="preserve">   220830</v>
      </c>
      <c r="B6534" t="str">
        <f>T("   Whiskies")</f>
        <v xml:space="preserve">   Whiskies</v>
      </c>
      <c r="C6534">
        <v>55154552</v>
      </c>
      <c r="D6534">
        <v>163905</v>
      </c>
    </row>
    <row r="6535" spans="1:4" x14ac:dyDescent="0.25">
      <c r="A6535" t="str">
        <f>T("   220860")</f>
        <v xml:space="preserve">   220860</v>
      </c>
      <c r="B6535" t="str">
        <f>T("   VODKA")</f>
        <v xml:space="preserve">   VODKA</v>
      </c>
      <c r="C6535">
        <v>6013925</v>
      </c>
      <c r="D6535">
        <v>17012</v>
      </c>
    </row>
    <row r="6536" spans="1:4" x14ac:dyDescent="0.25">
      <c r="A6536" t="str">
        <f>T("   220870")</f>
        <v xml:space="preserve">   220870</v>
      </c>
      <c r="B6536" t="str">
        <f>T("   LIQUEURS")</f>
        <v xml:space="preserve">   LIQUEURS</v>
      </c>
      <c r="C6536">
        <v>2395710</v>
      </c>
      <c r="D6536">
        <v>7962</v>
      </c>
    </row>
    <row r="6537" spans="1:4" x14ac:dyDescent="0.25">
      <c r="A6537" t="str">
        <f>T("   220890")</f>
        <v xml:space="preserve">   220890</v>
      </c>
      <c r="B6537" t="s">
        <v>58</v>
      </c>
      <c r="C6537">
        <v>4209093</v>
      </c>
      <c r="D6537">
        <v>16506</v>
      </c>
    </row>
    <row r="6538" spans="1:4" x14ac:dyDescent="0.25">
      <c r="A6538" t="str">
        <f>T("   230800")</f>
        <v xml:space="preserve">   230800</v>
      </c>
      <c r="B6538" t="str">
        <f>T("   Glands de chêne, marrons d'Inde, marcs de fruits et autres matières, déchets, résidus et sous-produits végétaux, même agglomérés sous forme de pellets, des types utilisés pour l'alimentation des animaux, n.d.a.")</f>
        <v xml:space="preserve">   Glands de chêne, marrons d'Inde, marcs de fruits et autres matières, déchets, résidus et sous-produits végétaux, même agglomérés sous forme de pellets, des types utilisés pour l'alimentation des animaux, n.d.a.</v>
      </c>
      <c r="C6538">
        <v>135942212</v>
      </c>
      <c r="D6538">
        <v>570050</v>
      </c>
    </row>
    <row r="6539" spans="1:4" x14ac:dyDescent="0.25">
      <c r="A6539" t="str">
        <f>T("   250100")</f>
        <v xml:space="preserve">   250100</v>
      </c>
      <c r="B6539" t="s">
        <v>60</v>
      </c>
      <c r="C6539">
        <v>110027399</v>
      </c>
      <c r="D6539">
        <v>2317201</v>
      </c>
    </row>
    <row r="6540" spans="1:4" x14ac:dyDescent="0.25">
      <c r="A6540" t="str">
        <f>T("   251512")</f>
        <v xml:space="preserve">   251512</v>
      </c>
      <c r="B6540" t="str">
        <f>T("   MARBRES ET TRAVERTINS, SIMPL. DÉBITÉS, PAR SCIAGE OU AUTREMENT, EN BLOCS OU EN PLAQUES DE FORME CARRÉE OU RECTANGULAIRE")</f>
        <v xml:space="preserve">   MARBRES ET TRAVERTINS, SIMPL. DÉBITÉS, PAR SCIAGE OU AUTREMENT, EN BLOCS OU EN PLAQUES DE FORME CARRÉE OU RECTANGULAIRE</v>
      </c>
      <c r="C6540">
        <v>6281901</v>
      </c>
      <c r="D6540">
        <v>18500</v>
      </c>
    </row>
    <row r="6541" spans="1:4" x14ac:dyDescent="0.25">
      <c r="A6541" t="str">
        <f>T("   271011")</f>
        <v xml:space="preserve">   271011</v>
      </c>
      <c r="B6541" t="str">
        <f>T("   HUILES LÉGÈRES ET PRÉPARATIONS DE PÉTROLE OU DE MINÉRAUX BITUMINEUX DISTILLANT EN VOLUME, Y.C. LES PERTES, &gt;= 90% À 210°C, D'APRÈS LA MÉTHODE ASTM D 86")</f>
        <v xml:space="preserve">   HUILES LÉGÈRES ET PRÉPARATIONS DE PÉTROLE OU DE MINÉRAUX BITUMINEUX DISTILLANT EN VOLUME, Y.C. LES PERTES, &gt;= 90% À 210°C, D'APRÈS LA MÉTHODE ASTM D 86</v>
      </c>
      <c r="C6541">
        <v>1541660390</v>
      </c>
      <c r="D6541">
        <v>3537115</v>
      </c>
    </row>
    <row r="6542" spans="1:4" x14ac:dyDescent="0.25">
      <c r="A6542" t="str">
        <f>T("   300220")</f>
        <v xml:space="preserve">   300220</v>
      </c>
      <c r="B6542" t="str">
        <f>T("   Vaccins pour la médecine humaine")</f>
        <v xml:space="preserve">   Vaccins pour la médecine humaine</v>
      </c>
      <c r="C6542">
        <v>253209914</v>
      </c>
      <c r="D6542">
        <v>5367.8</v>
      </c>
    </row>
    <row r="6543" spans="1:4" x14ac:dyDescent="0.25">
      <c r="A6543" t="str">
        <f>T("   300410")</f>
        <v xml:space="preserve">   300410</v>
      </c>
      <c r="B6543" t="s">
        <v>74</v>
      </c>
      <c r="C6543">
        <v>61911096</v>
      </c>
      <c r="D6543">
        <v>19932</v>
      </c>
    </row>
    <row r="6544" spans="1:4" x14ac:dyDescent="0.25">
      <c r="A6544" t="str">
        <f>T("   300420")</f>
        <v xml:space="preserve">   300420</v>
      </c>
      <c r="B6544" t="s">
        <v>75</v>
      </c>
      <c r="C6544">
        <v>229586</v>
      </c>
      <c r="D6544">
        <v>78</v>
      </c>
    </row>
    <row r="6545" spans="1:4" x14ac:dyDescent="0.25">
      <c r="A6545" t="str">
        <f>T("   300490")</f>
        <v xml:space="preserve">   300490</v>
      </c>
      <c r="B6545" t="s">
        <v>78</v>
      </c>
      <c r="C6545">
        <v>1470748015</v>
      </c>
      <c r="D6545">
        <v>146841.79999999999</v>
      </c>
    </row>
    <row r="6546" spans="1:4" x14ac:dyDescent="0.25">
      <c r="A6546" t="str">
        <f>T("   300590")</f>
        <v xml:space="preserve">   300590</v>
      </c>
      <c r="B6546" t="s">
        <v>79</v>
      </c>
      <c r="C6546">
        <v>270157</v>
      </c>
      <c r="D6546">
        <v>110</v>
      </c>
    </row>
    <row r="6547" spans="1:4" x14ac:dyDescent="0.25">
      <c r="A6547" t="str">
        <f>T("   300610")</f>
        <v xml:space="preserve">   300610</v>
      </c>
      <c r="B6547" t="s">
        <v>80</v>
      </c>
      <c r="C6547">
        <v>938023</v>
      </c>
      <c r="D6547">
        <v>140</v>
      </c>
    </row>
    <row r="6548" spans="1:4" x14ac:dyDescent="0.25">
      <c r="A6548" t="str">
        <f>T("   310560")</f>
        <v xml:space="preserve">   310560</v>
      </c>
      <c r="B6548" t="str">
        <f>T("   Engrais minéraux ou chimiques contenant les deux éléments fertilisants : phosphore et potassium (à l'excl. des produits présentés soit en tablettes ou formes simil., soit en emballages d'un poids brut &lt;= 10 kg)")</f>
        <v xml:space="preserve">   Engrais minéraux ou chimiques contenant les deux éléments fertilisants : phosphore et potassium (à l'excl. des produits présentés soit en tablettes ou formes simil., soit en emballages d'un poids brut &lt;= 10 kg)</v>
      </c>
      <c r="C6548">
        <v>8000000</v>
      </c>
      <c r="D6548">
        <v>18152</v>
      </c>
    </row>
    <row r="6549" spans="1:4" x14ac:dyDescent="0.25">
      <c r="A6549" t="str">
        <f>T("   320419")</f>
        <v xml:space="preserve">   320419</v>
      </c>
      <c r="B6549" t="s">
        <v>91</v>
      </c>
      <c r="C6549">
        <v>772828</v>
      </c>
      <c r="D6549">
        <v>7000</v>
      </c>
    </row>
    <row r="6550" spans="1:4" x14ac:dyDescent="0.25">
      <c r="A6550" t="str">
        <f>T("   330610")</f>
        <v xml:space="preserve">   330610</v>
      </c>
      <c r="B6550" t="str">
        <f>T("   Dentifrices, préparés, même des types utilisés par les dentistes")</f>
        <v xml:space="preserve">   Dentifrices, préparés, même des types utilisés par les dentistes</v>
      </c>
      <c r="C6550">
        <v>14817188</v>
      </c>
      <c r="D6550">
        <v>26805</v>
      </c>
    </row>
    <row r="6551" spans="1:4" x14ac:dyDescent="0.25">
      <c r="A6551" t="str">
        <f>T("   330741")</f>
        <v xml:space="preserve">   330741</v>
      </c>
      <c r="B6551" t="str">
        <f>T("   'Agarbatti' et autres préparations odoriférantes agissant par combustion")</f>
        <v xml:space="preserve">   'Agarbatti' et autres préparations odoriférantes agissant par combustion</v>
      </c>
      <c r="C6551">
        <v>1323898</v>
      </c>
      <c r="D6551">
        <v>938</v>
      </c>
    </row>
    <row r="6552" spans="1:4" x14ac:dyDescent="0.25">
      <c r="A6552" t="str">
        <f>T("   330790")</f>
        <v xml:space="preserve">   330790</v>
      </c>
      <c r="B6552" t="str">
        <f>T("   Dépilatoires, autres produits de parfumerie ou de toilette préparés et autres préparations cosmétiques, n.d.a.")</f>
        <v xml:space="preserve">   Dépilatoires, autres produits de parfumerie ou de toilette préparés et autres préparations cosmétiques, n.d.a.</v>
      </c>
      <c r="C6552">
        <v>1129349</v>
      </c>
      <c r="D6552">
        <v>1503</v>
      </c>
    </row>
    <row r="6553" spans="1:4" x14ac:dyDescent="0.25">
      <c r="A6553" t="str">
        <f>T("   340111")</f>
        <v xml:space="preserve">   340111</v>
      </c>
      <c r="B6553" t="s">
        <v>101</v>
      </c>
      <c r="C6553">
        <v>30366631</v>
      </c>
      <c r="D6553">
        <v>61363</v>
      </c>
    </row>
    <row r="6554" spans="1:4" x14ac:dyDescent="0.25">
      <c r="A6554" t="str">
        <f>T("   340119")</f>
        <v xml:space="preserve">   340119</v>
      </c>
      <c r="B6554" t="s">
        <v>102</v>
      </c>
      <c r="C6554">
        <v>10480000</v>
      </c>
      <c r="D6554">
        <v>42039</v>
      </c>
    </row>
    <row r="6555" spans="1:4" x14ac:dyDescent="0.25">
      <c r="A6555" t="str">
        <f>T("   340120")</f>
        <v xml:space="preserve">   340120</v>
      </c>
      <c r="B6555" t="str">
        <f>T("   Savons en flocons, en paillettes, en granulés ou en poudres et savons liquides ou pâteux")</f>
        <v xml:space="preserve">   Savons en flocons, en paillettes, en granulés ou en poudres et savons liquides ou pâteux</v>
      </c>
      <c r="C6555">
        <v>269092</v>
      </c>
      <c r="D6555">
        <v>51</v>
      </c>
    </row>
    <row r="6556" spans="1:4" x14ac:dyDescent="0.25">
      <c r="A6556" t="str">
        <f>T("   340213")</f>
        <v xml:space="preserve">   340213</v>
      </c>
      <c r="B6556" t="str">
        <f>T("   Agents de surface organiques, non ioniques, même conditionnés pour la vente au détail (à l'excl. des savons)")</f>
        <v xml:space="preserve">   Agents de surface organiques, non ioniques, même conditionnés pour la vente au détail (à l'excl. des savons)</v>
      </c>
      <c r="C6556">
        <v>718618</v>
      </c>
      <c r="D6556">
        <v>720</v>
      </c>
    </row>
    <row r="6557" spans="1:4" x14ac:dyDescent="0.25">
      <c r="A6557" t="str">
        <f>T("   340600")</f>
        <v xml:space="preserve">   340600</v>
      </c>
      <c r="B6557" t="str">
        <f>T("   Bougies, chandelles, cierges et articles simil.")</f>
        <v xml:space="preserve">   Bougies, chandelles, cierges et articles simil.</v>
      </c>
      <c r="C6557">
        <v>74600</v>
      </c>
      <c r="D6557">
        <v>50</v>
      </c>
    </row>
    <row r="6558" spans="1:4" x14ac:dyDescent="0.25">
      <c r="A6558" t="str">
        <f>T("   360500")</f>
        <v xml:space="preserve">   360500</v>
      </c>
      <c r="B6558" t="str">
        <f>T("   Allumettes (autres que les articles de pyrotechnie du n° 3604)")</f>
        <v xml:space="preserve">   Allumettes (autres que les articles de pyrotechnie du n° 3604)</v>
      </c>
      <c r="C6558">
        <v>124160931</v>
      </c>
      <c r="D6558">
        <v>339486</v>
      </c>
    </row>
    <row r="6559" spans="1:4" x14ac:dyDescent="0.25">
      <c r="A6559" t="str">
        <f>T("   381600")</f>
        <v xml:space="preserve">   381600</v>
      </c>
      <c r="B6559" t="str">
        <f>T("   Ciments, mortiers, bétons et compositions simil. réfractaires (à l'excl. des préparations à base de graphite ou d'autre carbone)")</f>
        <v xml:space="preserve">   Ciments, mortiers, bétons et compositions simil. réfractaires (à l'excl. des préparations à base de graphite ou d'autre carbone)</v>
      </c>
      <c r="C6559">
        <v>2509752</v>
      </c>
      <c r="D6559">
        <v>10000</v>
      </c>
    </row>
    <row r="6560" spans="1:4" x14ac:dyDescent="0.25">
      <c r="A6560" t="str">
        <f>T("   382200")</f>
        <v xml:space="preserve">   382200</v>
      </c>
      <c r="B6560" t="s">
        <v>125</v>
      </c>
      <c r="C6560">
        <v>7118348</v>
      </c>
      <c r="D6560">
        <v>79</v>
      </c>
    </row>
    <row r="6561" spans="1:4" x14ac:dyDescent="0.25">
      <c r="A6561" t="str">
        <f>T("   391740")</f>
        <v xml:space="preserve">   391740</v>
      </c>
      <c r="B6561" t="str">
        <f>T("   Accessoires pour tubes ou tuyaux [joints, coudes, raccords, par exemple], en matières plastiques")</f>
        <v xml:space="preserve">   Accessoires pour tubes ou tuyaux [joints, coudes, raccords, par exemple], en matières plastiques</v>
      </c>
      <c r="C6561">
        <v>3250000</v>
      </c>
      <c r="D6561">
        <v>11752</v>
      </c>
    </row>
    <row r="6562" spans="1:4" x14ac:dyDescent="0.25">
      <c r="A6562" t="str">
        <f>T("   391890")</f>
        <v xml:space="preserve">   391890</v>
      </c>
      <c r="B6562" t="s">
        <v>129</v>
      </c>
      <c r="C6562">
        <v>1754162</v>
      </c>
      <c r="D6562">
        <v>1800</v>
      </c>
    </row>
    <row r="6563" spans="1:4" x14ac:dyDescent="0.25">
      <c r="A6563" t="str">
        <f>T("   392099")</f>
        <v xml:space="preserve">   392099</v>
      </c>
      <c r="B6563" t="s">
        <v>139</v>
      </c>
      <c r="C6563">
        <v>2159665</v>
      </c>
      <c r="D6563">
        <v>5289</v>
      </c>
    </row>
    <row r="6564" spans="1:4" x14ac:dyDescent="0.25">
      <c r="A6564" t="str">
        <f>T("   392329")</f>
        <v xml:space="preserve">   392329</v>
      </c>
      <c r="B6564" t="str">
        <f>T("   Sacs, sachets, pochettes et cornets, en matières plastiques (autres que les polymères de l'éthylène)")</f>
        <v xml:space="preserve">   Sacs, sachets, pochettes et cornets, en matières plastiques (autres que les polymères de l'éthylène)</v>
      </c>
      <c r="C6564">
        <v>969205</v>
      </c>
      <c r="D6564">
        <v>3359</v>
      </c>
    </row>
    <row r="6565" spans="1:4" x14ac:dyDescent="0.25">
      <c r="A6565" t="str">
        <f>T("   392350")</f>
        <v xml:space="preserve">   392350</v>
      </c>
      <c r="B6565" t="str">
        <f>T("   Bouchons, couvercles, capsules et autres dispositifs de fermeture, en matières plastiques")</f>
        <v xml:space="preserve">   Bouchons, couvercles, capsules et autres dispositifs de fermeture, en matières plastiques</v>
      </c>
      <c r="C6565">
        <v>1065712</v>
      </c>
      <c r="D6565">
        <v>890</v>
      </c>
    </row>
    <row r="6566" spans="1:4" x14ac:dyDescent="0.25">
      <c r="A6566" t="str">
        <f>T("   392410")</f>
        <v xml:space="preserve">   392410</v>
      </c>
      <c r="B6566" t="str">
        <f>T("   Vaisselle et autres articles pour le service de la table ou de la cuisine, en matières plastiques")</f>
        <v xml:space="preserve">   Vaisselle et autres articles pour le service de la table ou de la cuisine, en matières plastiques</v>
      </c>
      <c r="C6566">
        <v>14318636</v>
      </c>
      <c r="D6566">
        <v>6668</v>
      </c>
    </row>
    <row r="6567" spans="1:4" x14ac:dyDescent="0.25">
      <c r="A6567" t="str">
        <f>T("   392490")</f>
        <v xml:space="preserve">   392490</v>
      </c>
      <c r="B6567" t="s">
        <v>145</v>
      </c>
      <c r="C6567">
        <v>6999999</v>
      </c>
      <c r="D6567">
        <v>10482</v>
      </c>
    </row>
    <row r="6568" spans="1:4" x14ac:dyDescent="0.25">
      <c r="A6568" t="str">
        <f>T("   392690")</f>
        <v xml:space="preserve">   392690</v>
      </c>
      <c r="B6568" t="str">
        <f>T("   Ouvrages en matières plastiques et ouvrages en autres matières du n° 3901 à 3914, n.d.a.")</f>
        <v xml:space="preserve">   Ouvrages en matières plastiques et ouvrages en autres matières du n° 3901 à 3914, n.d.a.</v>
      </c>
      <c r="C6568">
        <v>284255</v>
      </c>
      <c r="D6568">
        <v>700</v>
      </c>
    </row>
    <row r="6569" spans="1:4" x14ac:dyDescent="0.25">
      <c r="A6569" t="str">
        <f>T("   401120")</f>
        <v xml:space="preserve">   401120</v>
      </c>
      <c r="B6569" t="str">
        <f>T("   Pneumatiques neufs, en caoutchouc, des types utilisés pour les autobus ou les camions (à l'excl. des pneumatiques à crampons, à chevrons ou simil.)")</f>
        <v xml:space="preserve">   Pneumatiques neufs, en caoutchouc, des types utilisés pour les autobus ou les camions (à l'excl. des pneumatiques à crampons, à chevrons ou simil.)</v>
      </c>
      <c r="C6569">
        <v>2337311</v>
      </c>
      <c r="D6569">
        <v>1360</v>
      </c>
    </row>
    <row r="6570" spans="1:4" x14ac:dyDescent="0.25">
      <c r="A6570" t="str">
        <f>T("   401162")</f>
        <v xml:space="preserve">   401162</v>
      </c>
      <c r="B6570" t="str">
        <f>T("   Pneumatiques neufs, en caoutchouc, à crampons, à chevrons ou simil., des types utilisés pour les véhicules et engins de génie civil et de manutention industrielle, pour jantes d'un diamètre &lt;= 61 cm")</f>
        <v xml:space="preserve">   Pneumatiques neufs, en caoutchouc, à crampons, à chevrons ou simil., des types utilisés pour les véhicules et engins de génie civil et de manutention industrielle, pour jantes d'un diamètre &lt;= 61 cm</v>
      </c>
      <c r="C6570">
        <v>225774</v>
      </c>
      <c r="D6570">
        <v>140</v>
      </c>
    </row>
    <row r="6571" spans="1:4" x14ac:dyDescent="0.25">
      <c r="A6571" t="str">
        <f>T("   401211")</f>
        <v xml:space="preserve">   401211</v>
      </c>
      <c r="B6571" t="str">
        <f>T("   Pneumatiques rechapés, en caoutchouc, des types utilisés pour les voitures de tourisme, y.c. les voitures du type 'break' et les voitures de course")</f>
        <v xml:space="preserve">   Pneumatiques rechapés, en caoutchouc, des types utilisés pour les voitures de tourisme, y.c. les voitures du type 'break' et les voitures de course</v>
      </c>
      <c r="C6571">
        <v>8100000</v>
      </c>
      <c r="D6571">
        <v>21936</v>
      </c>
    </row>
    <row r="6572" spans="1:4" x14ac:dyDescent="0.25">
      <c r="A6572" t="str">
        <f>T("   401390")</f>
        <v xml:space="preserve">   401390</v>
      </c>
      <c r="B6572" t="str">
        <f>T("   Chambres à air, en caoutchouc (à l'excl. des chambres à air des types utilisés pour les voitures de tourisme, les voitures du type 'break', les voitures de course, les autobus, les camions et les bicyclettes)")</f>
        <v xml:space="preserve">   Chambres à air, en caoutchouc (à l'excl. des chambres à air des types utilisés pour les voitures de tourisme, les voitures du type 'break', les voitures de course, les autobus, les camions et les bicyclettes)</v>
      </c>
      <c r="C6572">
        <v>19200</v>
      </c>
      <c r="D6572">
        <v>64</v>
      </c>
    </row>
    <row r="6573" spans="1:4" x14ac:dyDescent="0.25">
      <c r="A6573" t="str">
        <f>T("   401511")</f>
        <v xml:space="preserve">   401511</v>
      </c>
      <c r="B6573" t="str">
        <f>T("   Gants en caoutchouc vulcanisé non durci, pour la chirurgie")</f>
        <v xml:space="preserve">   Gants en caoutchouc vulcanisé non durci, pour la chirurgie</v>
      </c>
      <c r="C6573">
        <v>947862</v>
      </c>
      <c r="D6573">
        <v>23</v>
      </c>
    </row>
    <row r="6574" spans="1:4" x14ac:dyDescent="0.25">
      <c r="A6574" t="str">
        <f>T("   401519")</f>
        <v xml:space="preserve">   401519</v>
      </c>
      <c r="B6574" t="str">
        <f>T("   GANTS, MITAINES ET MOUFLES, EN CAOUTCHOUC VULCANISÉ NON-DURCI (À L'EXCL. DES GANTS POUR LA CHIRURGIE)")</f>
        <v xml:space="preserve">   GANTS, MITAINES ET MOUFLES, EN CAOUTCHOUC VULCANISÉ NON-DURCI (À L'EXCL. DES GANTS POUR LA CHIRURGIE)</v>
      </c>
      <c r="C6574">
        <v>239675</v>
      </c>
      <c r="D6574">
        <v>114</v>
      </c>
    </row>
    <row r="6575" spans="1:4" x14ac:dyDescent="0.25">
      <c r="A6575" t="str">
        <f>T("   401691")</f>
        <v xml:space="preserve">   401691</v>
      </c>
      <c r="B6575" t="s">
        <v>156</v>
      </c>
      <c r="C6575">
        <v>3818320</v>
      </c>
      <c r="D6575">
        <v>7704</v>
      </c>
    </row>
    <row r="6576" spans="1:4" x14ac:dyDescent="0.25">
      <c r="A6576" t="str">
        <f>T("   420212")</f>
        <v xml:space="preserve">   420212</v>
      </c>
      <c r="B6576" t="str">
        <f>T("   Malles, valises et mallettes, y.c. les mallettes de toilette et les mallettes porte-documents, serviettes, cartables et contenants simil., à surface extérieure en matières plastiques ou en matières textiles")</f>
        <v xml:space="preserve">   Malles, valises et mallettes, y.c. les mallettes de toilette et les mallettes porte-documents, serviettes, cartables et contenants simil., à surface extérieure en matières plastiques ou en matières textiles</v>
      </c>
      <c r="C6576">
        <v>482235</v>
      </c>
      <c r="D6576">
        <v>1800</v>
      </c>
    </row>
    <row r="6577" spans="1:4" x14ac:dyDescent="0.25">
      <c r="A6577" t="str">
        <f>T("   420229")</f>
        <v xml:space="preserve">   420229</v>
      </c>
      <c r="B6577" t="str">
        <f>T("   Sacs à main, même à bandoulière, y.c. ceux sans poignée, à surface extérieure en fibre vulcanisée ou en carton, ou recouverts, en totalité ou en majeure partie, de ces mêmes matières ou de papier")</f>
        <v xml:space="preserve">   Sacs à main, même à bandoulière, y.c. ceux sans poignée, à surface extérieure en fibre vulcanisée ou en carton, ou recouverts, en totalité ou en majeure partie, de ces mêmes matières ou de papier</v>
      </c>
      <c r="C6577">
        <v>2066930</v>
      </c>
      <c r="D6577">
        <v>5819</v>
      </c>
    </row>
    <row r="6578" spans="1:4" x14ac:dyDescent="0.25">
      <c r="A6578" t="str">
        <f>T("   480100")</f>
        <v xml:space="preserve">   480100</v>
      </c>
      <c r="B6578" t="str">
        <f>T("   Papier journal, en rouleaux d'une largeur &gt; 36 cm ou en feuilles de forme carrée ou rectangulaire dont au moins un coté &gt; 36 cm et l'autre &gt; 15 cm à l'état non plié")</f>
        <v xml:space="preserve">   Papier journal, en rouleaux d'une largeur &gt; 36 cm ou en feuilles de forme carrée ou rectangulaire dont au moins un coté &gt; 36 cm et l'autre &gt; 15 cm à l'état non plié</v>
      </c>
      <c r="C6578">
        <v>7021939</v>
      </c>
      <c r="D6578">
        <v>17520</v>
      </c>
    </row>
    <row r="6579" spans="1:4" x14ac:dyDescent="0.25">
      <c r="A6579" t="str">
        <f>T("   480210")</f>
        <v xml:space="preserve">   480210</v>
      </c>
      <c r="B6579" t="str">
        <f>T("   Papiers et cartons formés feuille à feuille [papiers à la main], de tout format et de toute forme")</f>
        <v xml:space="preserve">   Papiers et cartons formés feuille à feuille [papiers à la main], de tout format et de toute forme</v>
      </c>
      <c r="C6579">
        <v>11828017</v>
      </c>
      <c r="D6579">
        <v>38675</v>
      </c>
    </row>
    <row r="6580" spans="1:4" x14ac:dyDescent="0.25">
      <c r="A6580" t="str">
        <f>T("   480257")</f>
        <v xml:space="preserve">   480257</v>
      </c>
      <c r="B6580" t="s">
        <v>191</v>
      </c>
      <c r="C6580">
        <v>27113647</v>
      </c>
      <c r="D6580">
        <v>59383</v>
      </c>
    </row>
    <row r="6581" spans="1:4" x14ac:dyDescent="0.25">
      <c r="A6581" t="str">
        <f>T("   480920")</f>
        <v xml:space="preserve">   480920</v>
      </c>
      <c r="B6581" t="str">
        <f>T("   PAPIERS DITS 'AUTOCOPIANTS', MÊME IMPRIMÉS, EN ROULEAUX D'UNE LARGEUR &gt; 36 CM OU EN FEUILLES DE FORME CARRÉE OU RECTANGULAIRE DONT UN CÔTÉ AU MOINS &gt; 36 CM À L'ÉTAT NON-PLIÉ (À L'EXCL. DES PAPIERS CARBONE ET DES PAPIERS SIMIL.)")</f>
        <v xml:space="preserve">   PAPIERS DITS 'AUTOCOPIANTS', MÊME IMPRIMÉS, EN ROULEAUX D'UNE LARGEUR &gt; 36 CM OU EN FEUILLES DE FORME CARRÉE OU RECTANGULAIRE DONT UN CÔTÉ AU MOINS &gt; 36 CM À L'ÉTAT NON-PLIÉ (À L'EXCL. DES PAPIERS CARBONE ET DES PAPIERS SIMIL.)</v>
      </c>
      <c r="C6581">
        <v>9500000</v>
      </c>
      <c r="D6581">
        <v>20800</v>
      </c>
    </row>
    <row r="6582" spans="1:4" x14ac:dyDescent="0.25">
      <c r="A6582" t="str">
        <f>T("   481092")</f>
        <v xml:space="preserve">   481092</v>
      </c>
      <c r="B6582" t="s">
        <v>207</v>
      </c>
      <c r="C6582">
        <v>23018883</v>
      </c>
      <c r="D6582">
        <v>83775</v>
      </c>
    </row>
    <row r="6583" spans="1:4" x14ac:dyDescent="0.25">
      <c r="A6583" t="str">
        <f>T("   482190")</f>
        <v xml:space="preserve">   482190</v>
      </c>
      <c r="B6583" t="str">
        <f>T("   ÉTIQUETTES DE TOUS GENRES, EN PAPIER OU EN CARTON, NON-IMPRIMÉES")</f>
        <v xml:space="preserve">   ÉTIQUETTES DE TOUS GENRES, EN PAPIER OU EN CARTON, NON-IMPRIMÉES</v>
      </c>
      <c r="C6583">
        <v>1835689</v>
      </c>
      <c r="D6583">
        <v>1050</v>
      </c>
    </row>
    <row r="6584" spans="1:4" x14ac:dyDescent="0.25">
      <c r="A6584" t="str">
        <f>T("   482320")</f>
        <v xml:space="preserve">   482320</v>
      </c>
      <c r="B6584" t="str">
        <f>T("   Papier et carton-filtre, en bandes ou en rouleaux d'une largeur &lt;= 36 cm ou en feuilles de forme carrée ou rectangulaire dont aucun côté &gt; 36 cm à l'état non plié, ou découpés de forme autre que carrée ou rectangulaire")</f>
        <v xml:space="preserve">   Papier et carton-filtre, en bandes ou en rouleaux d'une largeur &lt;= 36 cm ou en feuilles de forme carrée ou rectangulaire dont aucun côté &gt; 36 cm à l'état non plié, ou découpés de forme autre que carrée ou rectangulaire</v>
      </c>
      <c r="C6584">
        <v>216125</v>
      </c>
      <c r="D6584">
        <v>500</v>
      </c>
    </row>
    <row r="6585" spans="1:4" x14ac:dyDescent="0.25">
      <c r="A6585" t="str">
        <f>T("   490199")</f>
        <v xml:space="preserve">   490199</v>
      </c>
      <c r="B6585"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6585">
        <v>1449018</v>
      </c>
      <c r="D6585">
        <v>3319</v>
      </c>
    </row>
    <row r="6586" spans="1:4" x14ac:dyDescent="0.25">
      <c r="A6586" t="str">
        <f>T("   491000")</f>
        <v xml:space="preserve">   491000</v>
      </c>
      <c r="B6586" t="str">
        <f>T("   Calendriers de tous genres, imprimés, y.c. les blocs de calendriers à effeuiller")</f>
        <v xml:space="preserve">   Calendriers de tous genres, imprimés, y.c. les blocs de calendriers à effeuiller</v>
      </c>
      <c r="C6586">
        <v>216283</v>
      </c>
      <c r="D6586">
        <v>895</v>
      </c>
    </row>
    <row r="6587" spans="1:4" x14ac:dyDescent="0.25">
      <c r="A6587" t="str">
        <f>T("   491110")</f>
        <v xml:space="preserve">   491110</v>
      </c>
      <c r="B6587" t="str">
        <f>T("   Imprimés publicitaires, catalogues commerciaux et simil.")</f>
        <v xml:space="preserve">   Imprimés publicitaires, catalogues commerciaux et simil.</v>
      </c>
      <c r="C6587">
        <v>1097523</v>
      </c>
      <c r="D6587">
        <v>2171</v>
      </c>
    </row>
    <row r="6588" spans="1:4" x14ac:dyDescent="0.25">
      <c r="A6588" t="str">
        <f>T("   491199")</f>
        <v xml:space="preserve">   491199</v>
      </c>
      <c r="B6588" t="str">
        <f>T("   Imprimés, n.d.a.")</f>
        <v xml:space="preserve">   Imprimés, n.d.a.</v>
      </c>
      <c r="C6588">
        <v>153194898</v>
      </c>
      <c r="D6588">
        <v>13940</v>
      </c>
    </row>
    <row r="6589" spans="1:4" x14ac:dyDescent="0.25">
      <c r="A6589" t="str">
        <f>T("   520829")</f>
        <v xml:space="preserve">   520829</v>
      </c>
      <c r="B6589" t="str">
        <f>T("   Tissus de coton, blanchis, contenant &gt;= 85% en poids de coton, d'un poids &lt;= 200 g/m² (à l'excl. des tissus à armure toile ou à armure sergé [y.c. le croisé] d'un rapport d'armure &lt;= 4)")</f>
        <v xml:space="preserve">   Tissus de coton, blanchis, contenant &gt;= 85% en poids de coton, d'un poids &lt;= 200 g/m² (à l'excl. des tissus à armure toile ou à armure sergé [y.c. le croisé] d'un rapport d'armure &lt;= 4)</v>
      </c>
      <c r="C6589">
        <v>24000000</v>
      </c>
      <c r="D6589">
        <v>40057</v>
      </c>
    </row>
    <row r="6590" spans="1:4" x14ac:dyDescent="0.25">
      <c r="A6590" t="str">
        <f>T("   520839")</f>
        <v xml:space="preserve">   520839</v>
      </c>
      <c r="B6590" t="str">
        <f>T("   Tissus de coton, teints, contenant &gt;= 85% en poids de coton, d'un poids &lt;= 200 g/m² (à l'excl. des tissus à armure toile ou à armure sergé [y.c. le croisé] d'un rapport d'armure &lt;= 4)")</f>
        <v xml:space="preserve">   Tissus de coton, teints, contenant &gt;= 85% en poids de coton, d'un poids &lt;= 200 g/m² (à l'excl. des tissus à armure toile ou à armure sergé [y.c. le croisé] d'un rapport d'armure &lt;= 4)</v>
      </c>
      <c r="C6590">
        <v>4093649</v>
      </c>
      <c r="D6590">
        <v>3788</v>
      </c>
    </row>
    <row r="6591" spans="1:4" x14ac:dyDescent="0.25">
      <c r="A6591" t="str">
        <f>T("   520849")</f>
        <v xml:space="preserve">   520849</v>
      </c>
      <c r="B6591" t="str">
        <f>T("   Tissus de coton, en fils de diverses couleurs, contenant &gt;= 85% en poids de coton, d'un poids &lt;= 200 g/m² (à l'excl. des tissus à armure toile ou à armure sergé [y.c. le croisé] d'un rapport d'armure &lt;= 4)")</f>
        <v xml:space="preserve">   Tissus de coton, en fils de diverses couleurs, contenant &gt;= 85% en poids de coton, d'un poids &lt;= 200 g/m² (à l'excl. des tissus à armure toile ou à armure sergé [y.c. le croisé] d'un rapport d'armure &lt;= 4)</v>
      </c>
      <c r="C6591">
        <v>51001177</v>
      </c>
      <c r="D6591">
        <v>56726</v>
      </c>
    </row>
    <row r="6592" spans="1:4" x14ac:dyDescent="0.25">
      <c r="A6592" t="str">
        <f>T("   520851")</f>
        <v xml:space="preserve">   520851</v>
      </c>
      <c r="B6592" t="str">
        <f>T("   Tissus de coton, imprimés, à armure toile, contenant &gt;= 85% en poids de coton, d'un poids &lt;= 100 g/m²")</f>
        <v xml:space="preserve">   Tissus de coton, imprimés, à armure toile, contenant &gt;= 85% en poids de coton, d'un poids &lt;= 100 g/m²</v>
      </c>
      <c r="C6592">
        <v>85001744</v>
      </c>
      <c r="D6592">
        <v>98693</v>
      </c>
    </row>
    <row r="6593" spans="1:4" x14ac:dyDescent="0.25">
      <c r="A6593" t="str">
        <f>T("   520852")</f>
        <v xml:space="preserve">   520852</v>
      </c>
      <c r="B6593" t="str">
        <f>T("   Tissus de coton, imprimés, à armure toile, contenant &gt;= 85% en poids de coton, d'un poids &gt; 100 g/m² mais &lt;= 200 g/m²")</f>
        <v xml:space="preserve">   Tissus de coton, imprimés, à armure toile, contenant &gt;= 85% en poids de coton, d'un poids &gt; 100 g/m² mais &lt;= 200 g/m²</v>
      </c>
      <c r="C6593">
        <v>444657601</v>
      </c>
      <c r="D6593">
        <v>479689</v>
      </c>
    </row>
    <row r="6594" spans="1:4" x14ac:dyDescent="0.25">
      <c r="A6594" t="str">
        <f>T("   520859")</f>
        <v xml:space="preserve">   520859</v>
      </c>
      <c r="B6594" t="str">
        <f>T("   TISSUS DE COTON, IMPRIMÉS, CONTENANT &gt;= 85% EN POIDS DE COTON, D'UN POIDS &lt;= 200 G/M² (À L'EXCL. DES TISSUS À ARMURE TOILE)")</f>
        <v xml:space="preserve">   TISSUS DE COTON, IMPRIMÉS, CONTENANT &gt;= 85% EN POIDS DE COTON, D'UN POIDS &lt;= 200 G/M² (À L'EXCL. DES TISSUS À ARMURE TOILE)</v>
      </c>
      <c r="C6594">
        <v>69149343</v>
      </c>
      <c r="D6594">
        <v>76308</v>
      </c>
    </row>
    <row r="6595" spans="1:4" x14ac:dyDescent="0.25">
      <c r="A6595" t="str">
        <f>T("   521129")</f>
        <v xml:space="preserve">   521129</v>
      </c>
      <c r="B6595" t="s">
        <v>224</v>
      </c>
      <c r="C6595">
        <v>14000375</v>
      </c>
      <c r="D6595">
        <v>17523</v>
      </c>
    </row>
    <row r="6596" spans="1:4" x14ac:dyDescent="0.25">
      <c r="A6596" t="str">
        <f>T("   521225")</f>
        <v xml:space="preserve">   521225</v>
      </c>
      <c r="B6596" t="str">
        <f>T("   Tissus de coton, imprimés, contenant en prédominance, mais &lt; 85% en poids de coton, autres que mélangés principalement ou uniquement avec des fibres synthétiques ou artificielles, d'un poids &gt; 200 g/m²")</f>
        <v xml:space="preserve">   Tissus de coton, imprimés, contenant en prédominance, mais &lt; 85% en poids de coton, autres que mélangés principalement ou uniquement avec des fibres synthétiques ou artificielles, d'un poids &gt; 200 g/m²</v>
      </c>
      <c r="C6596">
        <v>88001261</v>
      </c>
      <c r="D6596">
        <v>99602</v>
      </c>
    </row>
    <row r="6597" spans="1:4" x14ac:dyDescent="0.25">
      <c r="A6597" t="str">
        <f>T("   530710")</f>
        <v xml:space="preserve">   530710</v>
      </c>
      <c r="B6597" t="str">
        <f>T("   Fils de jute ou d'autres fibres textiles libériennes du n° 5303, simples")</f>
        <v xml:space="preserve">   Fils de jute ou d'autres fibres textiles libériennes du n° 5303, simples</v>
      </c>
      <c r="C6597">
        <v>2342104</v>
      </c>
      <c r="D6597">
        <v>4000</v>
      </c>
    </row>
    <row r="6598" spans="1:4" x14ac:dyDescent="0.25">
      <c r="A6598" t="str">
        <f>T("   540769")</f>
        <v xml:space="preserve">   540769</v>
      </c>
      <c r="B6598" t="str">
        <f>T("   TISSUS OBTENUS À PARTIR DE FILS CONTENANT &gt;= 85% EN POIDS DE MÉLANGES DE FILAMENTS DE POLYESTER TEXTURÉS ET DE FILAMENTS DE POLYESTER NON-TEXTURÉS, Y.C. LES TISSUS OBTENUS À PARTIR DES MONOFILAMENTS DU N° 5404")</f>
        <v xml:space="preserve">   TISSUS OBTENUS À PARTIR DE FILS CONTENANT &gt;= 85% EN POIDS DE MÉLANGES DE FILAMENTS DE POLYESTER TEXTURÉS ET DE FILAMENTS DE POLYESTER NON-TEXTURÉS, Y.C. LES TISSUS OBTENUS À PARTIR DES MONOFILAMENTS DU N° 5404</v>
      </c>
      <c r="C6598">
        <v>348181</v>
      </c>
      <c r="D6598">
        <v>500</v>
      </c>
    </row>
    <row r="6599" spans="1:4" x14ac:dyDescent="0.25">
      <c r="A6599" t="str">
        <f>T("   551219")</f>
        <v xml:space="preserve">   551219</v>
      </c>
      <c r="B6599" t="str">
        <f>T("   Tissus, teints, imprimés ou en fils de diverses couleurs, de fibres discontinues de polyester, contenant &gt;= 85% en poids de ces fibres")</f>
        <v xml:space="preserve">   Tissus, teints, imprimés ou en fils de diverses couleurs, de fibres discontinues de polyester, contenant &gt;= 85% en poids de ces fibres</v>
      </c>
      <c r="C6599">
        <v>22883131</v>
      </c>
      <c r="D6599">
        <v>44572</v>
      </c>
    </row>
    <row r="6600" spans="1:4" x14ac:dyDescent="0.25">
      <c r="A6600" t="str">
        <f>T("   551229")</f>
        <v xml:space="preserve">   551229</v>
      </c>
      <c r="B6600" t="str">
        <f>T("   Tissus, teints, imprimés ou en fils de diverses couleurs, de fibres discontinues acryliques ou modacryliques, contenant &gt;= 85% en poids de ces fibres")</f>
        <v xml:space="preserve">   Tissus, teints, imprimés ou en fils de diverses couleurs, de fibres discontinues acryliques ou modacryliques, contenant &gt;= 85% en poids de ces fibres</v>
      </c>
      <c r="C6600">
        <v>20000879</v>
      </c>
      <c r="D6600">
        <v>28480</v>
      </c>
    </row>
    <row r="6601" spans="1:4" x14ac:dyDescent="0.25">
      <c r="A6601" t="str">
        <f>T("   551291")</f>
        <v xml:space="preserve">   551291</v>
      </c>
      <c r="B6601" t="str">
        <f>T("   Tissus, écrus ou blanchis, de fibres synthétiques discontinues, contenant &gt;= 85% en poids de ces fibres (à l'excl. des tissus de fibres discontinues acryliques ou modacryliques ou de fibres discontinues de polyester)")</f>
        <v xml:space="preserve">   Tissus, écrus ou blanchis, de fibres synthétiques discontinues, contenant &gt;= 85% en poids de ces fibres (à l'excl. des tissus de fibres discontinues acryliques ou modacryliques ou de fibres discontinues de polyester)</v>
      </c>
      <c r="C6601">
        <v>28000000</v>
      </c>
      <c r="D6601">
        <v>32151</v>
      </c>
    </row>
    <row r="6602" spans="1:4" x14ac:dyDescent="0.25">
      <c r="A6602" t="str">
        <f>T("   551299")</f>
        <v xml:space="preserve">   551299</v>
      </c>
      <c r="B6602" t="str">
        <f>T("   Tissus, teints, imprimés ou en fils de diverses couleurs, de fibres synthétiques discontinues, contenant &gt;= 85% en poids de ces fibres (à l'excl. des tissus de fibres discontinues acryliques ou modacryliques ou de fibres discontinues de polyester)")</f>
        <v xml:space="preserve">   Tissus, teints, imprimés ou en fils de diverses couleurs, de fibres synthétiques discontinues, contenant &gt;= 85% en poids de ces fibres (à l'excl. des tissus de fibres discontinues acryliques ou modacryliques ou de fibres discontinues de polyester)</v>
      </c>
      <c r="C6602">
        <v>90490727</v>
      </c>
      <c r="D6602">
        <v>93178</v>
      </c>
    </row>
    <row r="6603" spans="1:4" x14ac:dyDescent="0.25">
      <c r="A6603" t="str">
        <f>T("   551319")</f>
        <v xml:space="preserve">   551319</v>
      </c>
      <c r="B6603" t="s">
        <v>231</v>
      </c>
      <c r="C6603">
        <v>20554000</v>
      </c>
      <c r="D6603">
        <v>28669</v>
      </c>
    </row>
    <row r="6604" spans="1:4" x14ac:dyDescent="0.25">
      <c r="A6604" t="str">
        <f>T("   551323")</f>
        <v xml:space="preserve">   551323</v>
      </c>
      <c r="B6604" t="str">
        <f>T("   TISSUS, TEINTS, DE FIBRES DISCONTINUES DE POLYESTER, CONTENANT EN PRÉDOMINANCE, MAIS &lt; 85% EN POIDS DE CES FIBRES, MÉLANGÉS PRINCIPALEMENT OU UNIQUEMENT AVEC DU COTON, D'UN POIDS &lt;= 170 G/M² (À L'EXCL. DES TISSUS À ARMURE TOILE)")</f>
        <v xml:space="preserve">   TISSUS, TEINTS, DE FIBRES DISCONTINUES DE POLYESTER, CONTENANT EN PRÉDOMINANCE, MAIS &lt; 85% EN POIDS DE CES FIBRES, MÉLANGÉS PRINCIPALEMENT OU UNIQUEMENT AVEC DU COTON, D'UN POIDS &lt;= 170 G/M² (À L'EXCL. DES TISSUS À ARMURE TOILE)</v>
      </c>
      <c r="C6604">
        <v>34000000</v>
      </c>
      <c r="D6604">
        <v>25550</v>
      </c>
    </row>
    <row r="6605" spans="1:4" x14ac:dyDescent="0.25">
      <c r="A6605" t="str">
        <f>T("   551339")</f>
        <v xml:space="preserve">   551339</v>
      </c>
      <c r="B6605" t="s">
        <v>232</v>
      </c>
      <c r="C6605">
        <v>17051918</v>
      </c>
      <c r="D6605">
        <v>23768</v>
      </c>
    </row>
    <row r="6606" spans="1:4" x14ac:dyDescent="0.25">
      <c r="A6606" t="str">
        <f>T("   551341")</f>
        <v xml:space="preserve">   551341</v>
      </c>
      <c r="B6606" t="str">
        <f>T("   Tissus, imprimés, de fibres discontinues de polyester, contenant en prédominance, mais &lt; 85% en poids de ces fibres, mélangés principalement ou uniquement avec du coton, à armure toile, d'un poids &lt;= 170 g/m²")</f>
        <v xml:space="preserve">   Tissus, imprimés, de fibres discontinues de polyester, contenant en prédominance, mais &lt; 85% en poids de ces fibres, mélangés principalement ou uniquement avec du coton, à armure toile, d'un poids &lt;= 170 g/m²</v>
      </c>
      <c r="C6606">
        <v>14594098</v>
      </c>
      <c r="D6606">
        <v>17094</v>
      </c>
    </row>
    <row r="6607" spans="1:4" x14ac:dyDescent="0.25">
      <c r="A6607" t="str">
        <f>T("   551349")</f>
        <v xml:space="preserve">   551349</v>
      </c>
      <c r="B6607" t="str">
        <f>T("   Tissus, imprimés, de fibres synthétiques discontinues, contenant en prédominance, mais &lt; 85% en poids de ces fibres, mélangés principalement ou uniquement avec du coton, d'un poids &lt;= 170 g/m² (à l'excl. des tissus de fibres discontinues de polyester)")</f>
        <v xml:space="preserve">   Tissus, imprimés, de fibres synthétiques discontinues, contenant en prédominance, mais &lt; 85% en poids de ces fibres, mélangés principalement ou uniquement avec du coton, d'un poids &lt;= 170 g/m² (à l'excl. des tissus de fibres discontinues de polyester)</v>
      </c>
      <c r="C6607">
        <v>32775469</v>
      </c>
      <c r="D6607">
        <v>77846</v>
      </c>
    </row>
    <row r="6608" spans="1:4" x14ac:dyDescent="0.25">
      <c r="A6608" t="str">
        <f>T("   551443")</f>
        <v xml:space="preserve">   551443</v>
      </c>
      <c r="B6608" t="s">
        <v>235</v>
      </c>
      <c r="C6608">
        <v>14000000</v>
      </c>
      <c r="D6608">
        <v>14339</v>
      </c>
    </row>
    <row r="6609" spans="1:4" x14ac:dyDescent="0.25">
      <c r="A6609" t="str">
        <f>T("   551599")</f>
        <v xml:space="preserve">   551599</v>
      </c>
      <c r="B6609" t="s">
        <v>240</v>
      </c>
      <c r="C6609">
        <v>6554153</v>
      </c>
      <c r="D6609">
        <v>14850</v>
      </c>
    </row>
    <row r="6610" spans="1:4" x14ac:dyDescent="0.25">
      <c r="A6610" t="str">
        <f>T("   560710")</f>
        <v xml:space="preserve">   560710</v>
      </c>
      <c r="B6610" t="str">
        <f>T("   Ficelles, cordes et cordages de jute ou d'autres fibres textiles libériennes du n° 5303, tressés ou non, même imprégnés, enduits, recouverts ou gainés de caoutchouc ou de matière plastique")</f>
        <v xml:space="preserve">   Ficelles, cordes et cordages de jute ou d'autres fibres textiles libériennes du n° 5303, tressés ou non, même imprégnés, enduits, recouverts ou gainés de caoutchouc ou de matière plastique</v>
      </c>
      <c r="C6610">
        <v>2295128</v>
      </c>
      <c r="D6610">
        <v>13770</v>
      </c>
    </row>
    <row r="6611" spans="1:4" x14ac:dyDescent="0.25">
      <c r="A6611" t="str">
        <f>T("   570500")</f>
        <v xml:space="preserve">   570500</v>
      </c>
      <c r="B6611" t="str">
        <f>T("   Tapis et autres revêtements de sol en matières textiles, même confectionnés (à l'excl. à points noués ou enroulés, tissés, touffetés ou en feutre)")</f>
        <v xml:space="preserve">   Tapis et autres revêtements de sol en matières textiles, même confectionnés (à l'excl. à points noués ou enroulés, tissés, touffetés ou en feutre)</v>
      </c>
      <c r="C6611">
        <v>5692847</v>
      </c>
      <c r="D6611">
        <v>5438</v>
      </c>
    </row>
    <row r="6612" spans="1:4" x14ac:dyDescent="0.25">
      <c r="A6612" t="str">
        <f>T("   580430")</f>
        <v xml:space="preserve">   580430</v>
      </c>
      <c r="B6612" t="str">
        <f>T("   Dentelles à la main, en pièces, en bandes ou en motifs (à l'excl. des produits du n° 6002 à 6006)")</f>
        <v xml:space="preserve">   Dentelles à la main, en pièces, en bandes ou en motifs (à l'excl. des produits du n° 6002 à 6006)</v>
      </c>
      <c r="C6612">
        <v>15474377</v>
      </c>
      <c r="D6612">
        <v>15733</v>
      </c>
    </row>
    <row r="6613" spans="1:4" x14ac:dyDescent="0.25">
      <c r="A6613" t="str">
        <f>T("   581091")</f>
        <v xml:space="preserve">   581091</v>
      </c>
      <c r="B6613" t="str">
        <f>T("   Broderies de coton, sur support de matières textiles, en pièces, en bandes ou en motifs (à l'excl. des broderies chimiques ou aériennes ainsi que des broderies à fond découpé)")</f>
        <v xml:space="preserve">   Broderies de coton, sur support de matières textiles, en pièces, en bandes ou en motifs (à l'excl. des broderies chimiques ou aériennes ainsi que des broderies à fond découpé)</v>
      </c>
      <c r="C6613">
        <v>17000000</v>
      </c>
      <c r="D6613">
        <v>6632</v>
      </c>
    </row>
    <row r="6614" spans="1:4" x14ac:dyDescent="0.25">
      <c r="A6614" t="str">
        <f>T("   581099")</f>
        <v xml:space="preserve">   581099</v>
      </c>
      <c r="B6614" t="str">
        <f>T("   Broderies de matières textiles, sur support de matières textiles, en pièces, en bandes ou en motifs (à l'excl. des broderies en coton ou en fibres synthétiques ou artificielles, des broderies chimiques ou aériennes et des broderies à fond découpé)")</f>
        <v xml:space="preserve">   Broderies de matières textiles, sur support de matières textiles, en pièces, en bandes ou en motifs (à l'excl. des broderies en coton ou en fibres synthétiques ou artificielles, des broderies chimiques ou aériennes et des broderies à fond découpé)</v>
      </c>
      <c r="C6614">
        <v>36000000</v>
      </c>
      <c r="D6614">
        <v>34753</v>
      </c>
    </row>
    <row r="6615" spans="1:4" x14ac:dyDescent="0.25">
      <c r="A6615" t="str">
        <f>T("   610910")</f>
        <v xml:space="preserve">   610910</v>
      </c>
      <c r="B6615" t="str">
        <f>T("   T-shirts et maillots de corps, en bonneterie, de coton,")</f>
        <v xml:space="preserve">   T-shirts et maillots de corps, en bonneterie, de coton,</v>
      </c>
      <c r="C6615">
        <v>11504</v>
      </c>
      <c r="D6615">
        <v>10</v>
      </c>
    </row>
    <row r="6616" spans="1:4" x14ac:dyDescent="0.25">
      <c r="A6616" t="str">
        <f>T("   610990")</f>
        <v xml:space="preserve">   610990</v>
      </c>
      <c r="B6616" t="str">
        <f>T("   T-shirts et maillots de corps, en bonneterie, de matières textiles (sauf de coton)")</f>
        <v xml:space="preserve">   T-shirts et maillots de corps, en bonneterie, de matières textiles (sauf de coton)</v>
      </c>
      <c r="C6616">
        <v>1518840</v>
      </c>
      <c r="D6616">
        <v>561</v>
      </c>
    </row>
    <row r="6617" spans="1:4" x14ac:dyDescent="0.25">
      <c r="A6617" t="str">
        <f>T("   611490")</f>
        <v xml:space="preserve">   611490</v>
      </c>
      <c r="B6617" t="str">
        <f>T("   Vêtements spéciaux destinés à des fins professionnelles, sportives ou autres n.d.a., en bonneterie, de matières textiles (sauf de laine, poils fins, coton, fibres synthétiques ou artificielles)")</f>
        <v xml:space="preserve">   Vêtements spéciaux destinés à des fins professionnelles, sportives ou autres n.d.a., en bonneterie, de matières textiles (sauf de laine, poils fins, coton, fibres synthétiques ou artificielles)</v>
      </c>
      <c r="C6617">
        <v>1367021</v>
      </c>
      <c r="D6617">
        <v>2841</v>
      </c>
    </row>
    <row r="6618" spans="1:4" x14ac:dyDescent="0.25">
      <c r="A6618" t="str">
        <f>T("   630251")</f>
        <v xml:space="preserve">   630251</v>
      </c>
      <c r="B6618" t="str">
        <f>T("   Linge de table de coton (autre qu'en bonneterie)")</f>
        <v xml:space="preserve">   Linge de table de coton (autre qu'en bonneterie)</v>
      </c>
      <c r="C6618">
        <v>1172283</v>
      </c>
      <c r="D6618">
        <v>1244</v>
      </c>
    </row>
    <row r="6619" spans="1:4" x14ac:dyDescent="0.25">
      <c r="A6619" t="str">
        <f>T("   630399")</f>
        <v xml:space="preserve">   630399</v>
      </c>
      <c r="B6619" t="str">
        <f>T("   Vitrages, rideaux et stores d'intérieur ainsi que cantonnières et tours de lit, de matières textiles (autres que de coton et fibres synthétiques, autres qu'en bonneterie et autres que stores d'extérieur)")</f>
        <v xml:space="preserve">   Vitrages, rideaux et stores d'intérieur ainsi que cantonnières et tours de lit, de matières textiles (autres que de coton et fibres synthétiques, autres qu'en bonneterie et autres que stores d'extérieur)</v>
      </c>
      <c r="C6619">
        <v>281443</v>
      </c>
      <c r="D6619">
        <v>630</v>
      </c>
    </row>
    <row r="6620" spans="1:4" x14ac:dyDescent="0.25">
      <c r="A6620" t="str">
        <f>T("   630510")</f>
        <v xml:space="preserve">   630510</v>
      </c>
      <c r="B6620" t="str">
        <f>T("   Sacs et sachets d'emballage de jute ou d'autres fibres textiles libériennes du n° 5303")</f>
        <v xml:space="preserve">   Sacs et sachets d'emballage de jute ou d'autres fibres textiles libériennes du n° 5303</v>
      </c>
      <c r="C6620">
        <v>57105322</v>
      </c>
      <c r="D6620">
        <v>157249</v>
      </c>
    </row>
    <row r="6621" spans="1:4" x14ac:dyDescent="0.25">
      <c r="A6621" t="str">
        <f>T("   630533")</f>
        <v xml:space="preserve">   630533</v>
      </c>
      <c r="B6621" t="str">
        <f>T("   Sacs et sachets d'emballage obtenus à partir de lames ou formes simil., de polyéthylène ou polypropylène (à l'excl. des contenants souples pour matières en vrac)")</f>
        <v xml:space="preserve">   Sacs et sachets d'emballage obtenus à partir de lames ou formes simil., de polyéthylène ou polypropylène (à l'excl. des contenants souples pour matières en vrac)</v>
      </c>
      <c r="C6621">
        <v>2022924</v>
      </c>
      <c r="D6621">
        <v>90184</v>
      </c>
    </row>
    <row r="6622" spans="1:4" x14ac:dyDescent="0.25">
      <c r="A6622" t="str">
        <f>T("   630539")</f>
        <v xml:space="preserve">   630539</v>
      </c>
      <c r="B6622" t="str">
        <f>T("   Sacs et sachets d'emballage de matières synthétiques ou artificielles (autres qu'en lames ou formes simil. de polyéthylène ou de polypropylène ainsi que contenants souples pour matières en vrac)")</f>
        <v xml:space="preserve">   Sacs et sachets d'emballage de matières synthétiques ou artificielles (autres qu'en lames ou formes simil. de polyéthylène ou de polypropylène ainsi que contenants souples pour matières en vrac)</v>
      </c>
      <c r="C6622">
        <v>3240000</v>
      </c>
      <c r="D6622">
        <v>17150</v>
      </c>
    </row>
    <row r="6623" spans="1:4" x14ac:dyDescent="0.25">
      <c r="A6623" t="str">
        <f>T("   630590")</f>
        <v xml:space="preserve">   630590</v>
      </c>
      <c r="B6623" t="str">
        <f>T("   Sacs et sachets d'emballage de matières textiles (autres qu'en matières textiles synthétiques ou artificielles, coton, jute ou autres fibres textiles libérienne du n° 5303)")</f>
        <v xml:space="preserve">   Sacs et sachets d'emballage de matières textiles (autres qu'en matières textiles synthétiques ou artificielles, coton, jute ou autres fibres textiles libérienne du n° 5303)</v>
      </c>
      <c r="C6623">
        <v>300531</v>
      </c>
      <c r="D6623">
        <v>500</v>
      </c>
    </row>
    <row r="6624" spans="1:4" x14ac:dyDescent="0.25">
      <c r="A6624" t="str">
        <f>T("   630900")</f>
        <v xml:space="preserve">   630900</v>
      </c>
      <c r="B6624" t="s">
        <v>280</v>
      </c>
      <c r="C6624">
        <v>33197332</v>
      </c>
      <c r="D6624">
        <v>56968</v>
      </c>
    </row>
    <row r="6625" spans="1:4" x14ac:dyDescent="0.25">
      <c r="A6625" t="str">
        <f>T("   640590")</f>
        <v xml:space="preserve">   640590</v>
      </c>
      <c r="B6625" t="s">
        <v>290</v>
      </c>
      <c r="C6625">
        <v>3451799</v>
      </c>
      <c r="D6625">
        <v>6243</v>
      </c>
    </row>
    <row r="6626" spans="1:4" x14ac:dyDescent="0.25">
      <c r="A6626" t="str">
        <f>T("   650610")</f>
        <v xml:space="preserve">   650610</v>
      </c>
      <c r="B6626" t="str">
        <f>T("   Coiffures de sécurité, même garnies")</f>
        <v xml:space="preserve">   Coiffures de sécurité, même garnies</v>
      </c>
      <c r="C6626">
        <v>6007406</v>
      </c>
      <c r="D6626">
        <v>516.5</v>
      </c>
    </row>
    <row r="6627" spans="1:4" x14ac:dyDescent="0.25">
      <c r="A6627" t="str">
        <f>T("   660199")</f>
        <v xml:space="preserve">   660199</v>
      </c>
      <c r="B6627" t="str">
        <f>T("   Parapluies, y.c. les parapluies-cannes et ombrelles (sauf parapluies et ombrelles à mât ou à manche télescopique, parasols de jardin et articles simil. et sauf jouets d'enfants)")</f>
        <v xml:space="preserve">   Parapluies, y.c. les parapluies-cannes et ombrelles (sauf parapluies et ombrelles à mât ou à manche télescopique, parasols de jardin et articles simil. et sauf jouets d'enfants)</v>
      </c>
      <c r="C6627">
        <v>21571</v>
      </c>
      <c r="D6627">
        <v>1200</v>
      </c>
    </row>
    <row r="6628" spans="1:4" x14ac:dyDescent="0.25">
      <c r="A6628" t="str">
        <f>T("   680422")</f>
        <v xml:space="preserve">   680422</v>
      </c>
      <c r="B6628" t="s">
        <v>298</v>
      </c>
      <c r="C6628">
        <v>5592097</v>
      </c>
      <c r="D6628">
        <v>11870</v>
      </c>
    </row>
    <row r="6629" spans="1:4" x14ac:dyDescent="0.25">
      <c r="A6629" t="str">
        <f>T("   681019")</f>
        <v xml:space="preserve">   681019</v>
      </c>
      <c r="B6629" t="str">
        <f>T("   Tuiles, carreaux, dalles et articles simil., en ciment, en béton ou en pierre artificielle (autres que blocs et briques pour la construction)")</f>
        <v xml:space="preserve">   Tuiles, carreaux, dalles et articles simil., en ciment, en béton ou en pierre artificielle (autres que blocs et briques pour la construction)</v>
      </c>
      <c r="C6629">
        <v>6116985</v>
      </c>
      <c r="D6629">
        <v>109980</v>
      </c>
    </row>
    <row r="6630" spans="1:4" x14ac:dyDescent="0.25">
      <c r="A6630" t="str">
        <f>T("   690290")</f>
        <v xml:space="preserve">   690290</v>
      </c>
      <c r="B6630" t="s">
        <v>306</v>
      </c>
      <c r="C6630">
        <v>123623</v>
      </c>
      <c r="D6630">
        <v>1000</v>
      </c>
    </row>
    <row r="6631" spans="1:4" x14ac:dyDescent="0.25">
      <c r="A6631" t="str">
        <f>T("   690710")</f>
        <v xml:space="preserve">   690710</v>
      </c>
      <c r="B6631" t="str">
        <f>T("   Carreaux, cubes, dés et articles simil., en céramique, pour mosaïques, non vernissés ni émaillés, même de forme autre que carrée ou rectangulaire, dont la plus grande surface peut être inscrite dans un carré de côté &lt; 7 cm, même sur support")</f>
        <v xml:space="preserve">   Carreaux, cubes, dés et articles simil., en céramique, pour mosaïques, non vernissés ni émaillés, même de forme autre que carrée ou rectangulaire, dont la plus grande surface peut être inscrite dans un carré de côté &lt; 7 cm, même sur support</v>
      </c>
      <c r="C6631">
        <v>8738838</v>
      </c>
      <c r="D6631">
        <v>54000</v>
      </c>
    </row>
    <row r="6632" spans="1:4" x14ac:dyDescent="0.25">
      <c r="A6632" t="str">
        <f>T("   690790")</f>
        <v xml:space="preserve">   690790</v>
      </c>
      <c r="B6632" t="s">
        <v>310</v>
      </c>
      <c r="C6632">
        <v>5100000</v>
      </c>
      <c r="D6632">
        <v>25000</v>
      </c>
    </row>
    <row r="6633" spans="1:4" x14ac:dyDescent="0.25">
      <c r="A6633" t="str">
        <f>T("   690890")</f>
        <v xml:space="preserve">   690890</v>
      </c>
      <c r="B6633" t="s">
        <v>311</v>
      </c>
      <c r="C6633">
        <v>33082432</v>
      </c>
      <c r="D6633">
        <v>382400</v>
      </c>
    </row>
    <row r="6634" spans="1:4" x14ac:dyDescent="0.25">
      <c r="A6634" t="str">
        <f>T("   691010")</f>
        <v xml:space="preserve">   691010</v>
      </c>
      <c r="B6634" t="s">
        <v>312</v>
      </c>
      <c r="C6634">
        <v>22693510</v>
      </c>
      <c r="D6634">
        <v>92568</v>
      </c>
    </row>
    <row r="6635" spans="1:4" x14ac:dyDescent="0.25">
      <c r="A6635" t="str">
        <f>T("   691090")</f>
        <v xml:space="preserve">   691090</v>
      </c>
      <c r="B6635" t="s">
        <v>313</v>
      </c>
      <c r="C6635">
        <v>165903382</v>
      </c>
      <c r="D6635">
        <v>669914</v>
      </c>
    </row>
    <row r="6636" spans="1:4" x14ac:dyDescent="0.25">
      <c r="A6636" t="str">
        <f>T("   691200")</f>
        <v xml:space="preserve">   691200</v>
      </c>
      <c r="B6636" t="s">
        <v>316</v>
      </c>
      <c r="C6636">
        <v>6555195</v>
      </c>
      <c r="D6636">
        <v>17862</v>
      </c>
    </row>
    <row r="6637" spans="1:4" x14ac:dyDescent="0.25">
      <c r="A6637" t="str">
        <f>T("   691490")</f>
        <v xml:space="preserve">   691490</v>
      </c>
      <c r="B6637" t="str">
        <f>T("   Ouvrages en céramique autres que la porcelaine n.d.a.")</f>
        <v xml:space="preserve">   Ouvrages en céramique autres que la porcelaine n.d.a.</v>
      </c>
      <c r="C6637">
        <v>11338063</v>
      </c>
      <c r="D6637">
        <v>42408</v>
      </c>
    </row>
    <row r="6638" spans="1:4" x14ac:dyDescent="0.25">
      <c r="A6638" t="str">
        <f>T("   702000")</f>
        <v xml:space="preserve">   702000</v>
      </c>
      <c r="B6638" t="str">
        <f>T("   Ouvrages en verre n.d.a.")</f>
        <v xml:space="preserve">   Ouvrages en verre n.d.a.</v>
      </c>
      <c r="C6638">
        <v>874550</v>
      </c>
      <c r="D6638">
        <v>425</v>
      </c>
    </row>
    <row r="6639" spans="1:4" x14ac:dyDescent="0.25">
      <c r="A6639" t="str">
        <f>T("   720839")</f>
        <v xml:space="preserve">   720839</v>
      </c>
      <c r="B6639" t="str">
        <f>T("   PRODUITS LAMINÉS PLATS, EN FER OU EN ACIERS NON ALLIÉS, D'UNE LARGEUR &gt;= 600 MM, ENROULÉS, SIMPLEMENT LAMINÉS À CHAUD, NON PLAQUÉS NI REVÊTUS, ÉPAISSEUR &lt; 3 MM (SANS MOTIFS EN RELIEF, ET AUTRES QUE DÉCAPÉS)")</f>
        <v xml:space="preserve">   PRODUITS LAMINÉS PLATS, EN FER OU EN ACIERS NON ALLIÉS, D'UNE LARGEUR &gt;= 600 MM, ENROULÉS, SIMPLEMENT LAMINÉS À CHAUD, NON PLAQUÉS NI REVÊTUS, ÉPAISSEUR &lt; 3 MM (SANS MOTIFS EN RELIEF, ET AUTRES QUE DÉCAPÉS)</v>
      </c>
      <c r="C6639">
        <v>47200635</v>
      </c>
      <c r="D6639">
        <v>118095</v>
      </c>
    </row>
    <row r="6640" spans="1:4" x14ac:dyDescent="0.25">
      <c r="A6640" t="str">
        <f>T("   721041")</f>
        <v xml:space="preserve">   721041</v>
      </c>
      <c r="B6640" t="str">
        <f>T("   Produits laminés plats, en fer ou en aciers non alliés, d'une largeur &gt;= 600 mm, laminés à chaud ou à froid, zingués, ondulés (à l'excl. des produits zingués électrolytiquement)")</f>
        <v xml:space="preserve">   Produits laminés plats, en fer ou en aciers non alliés, d'une largeur &gt;= 600 mm, laminés à chaud ou à froid, zingués, ondulés (à l'excl. des produits zingués électrolytiquement)</v>
      </c>
      <c r="C6640">
        <v>1062742056</v>
      </c>
      <c r="D6640">
        <v>1964788</v>
      </c>
    </row>
    <row r="6641" spans="1:4" x14ac:dyDescent="0.25">
      <c r="A6641" t="str">
        <f>T("   721049")</f>
        <v xml:space="preserve">   721049</v>
      </c>
      <c r="B6641" t="str">
        <f>T("   Produits laminés plats, en fer ou en aciers non alliés, d'une largeur &gt;= 600 mm, laminés à chaud ou à froid, zingués, non ondulés (à l'excl. des produits zingués électrolytiquement)")</f>
        <v xml:space="preserve">   Produits laminés plats, en fer ou en aciers non alliés, d'une largeur &gt;= 600 mm, laminés à chaud ou à froid, zingués, non ondulés (à l'excl. des produits zingués électrolytiquement)</v>
      </c>
      <c r="C6641">
        <v>1468309792</v>
      </c>
      <c r="D6641">
        <v>2543306</v>
      </c>
    </row>
    <row r="6642" spans="1:4" x14ac:dyDescent="0.25">
      <c r="A6642" t="str">
        <f>T("   721070")</f>
        <v xml:space="preserve">   721070</v>
      </c>
      <c r="B6642" t="str">
        <f>T("   PRODUITS LAMINÉS PLATS, EN FER OU EN ACIERS NON-ALLIÉS, D'UNE LARGEUR &gt;= 600 MM, LAMINÉS À CHAUD OU À FROID, PEINTS, VERNIS OU REVÊTUS DE MATIÈRES PLASTIQUES")</f>
        <v xml:space="preserve">   PRODUITS LAMINÉS PLATS, EN FER OU EN ACIERS NON-ALLIÉS, D'UNE LARGEUR &gt;= 600 MM, LAMINÉS À CHAUD OU À FROID, PEINTS, VERNIS OU REVÊTUS DE MATIÈRES PLASTIQUES</v>
      </c>
      <c r="C6642">
        <v>13510807</v>
      </c>
      <c r="D6642">
        <v>22240</v>
      </c>
    </row>
    <row r="6643" spans="1:4" x14ac:dyDescent="0.25">
      <c r="A6643" t="str">
        <f>T("   721090")</f>
        <v xml:space="preserve">   721090</v>
      </c>
      <c r="B6643" t="s">
        <v>337</v>
      </c>
      <c r="C6643">
        <v>14200222</v>
      </c>
      <c r="D6643">
        <v>24085</v>
      </c>
    </row>
    <row r="6644" spans="1:4" x14ac:dyDescent="0.25">
      <c r="A6644" t="str">
        <f>T("   730120")</f>
        <v xml:space="preserve">   730120</v>
      </c>
      <c r="B6644" t="str">
        <f>T("   Profilés en fer ou en acier, obtenus par soudage")</f>
        <v xml:space="preserve">   Profilés en fer ou en acier, obtenus par soudage</v>
      </c>
      <c r="C6644">
        <v>1173928</v>
      </c>
      <c r="D6644">
        <v>1562</v>
      </c>
    </row>
    <row r="6645" spans="1:4" x14ac:dyDescent="0.25">
      <c r="A6645" t="str">
        <f>T("   731100")</f>
        <v xml:space="preserve">   731100</v>
      </c>
      <c r="B6645" t="str">
        <f>T("   Récipients en fonte, fer ou acier, pour gaz comprimés ou liquéfiés (autres que conteneurs spécialement conçus ou équipés pour un ou plusieurs moyens de transport)")</f>
        <v xml:space="preserve">   Récipients en fonte, fer ou acier, pour gaz comprimés ou liquéfiés (autres que conteneurs spécialement conçus ou équipés pour un ou plusieurs moyens de transport)</v>
      </c>
      <c r="C6645">
        <v>551688652</v>
      </c>
      <c r="D6645">
        <v>460710</v>
      </c>
    </row>
    <row r="6646" spans="1:4" x14ac:dyDescent="0.25">
      <c r="A6646" t="str">
        <f>T("   731210")</f>
        <v xml:space="preserve">   731210</v>
      </c>
      <c r="B6646" t="str">
        <f>T("   Torons et câbles en fer ou en acier (sauf produits isolés pour l'électricité et sauf fil barbelé pour clôtures et ronces artificielles)")</f>
        <v xml:space="preserve">   Torons et câbles en fer ou en acier (sauf produits isolés pour l'électricité et sauf fil barbelé pour clôtures et ronces artificielles)</v>
      </c>
      <c r="C6646">
        <v>443553</v>
      </c>
      <c r="D6646">
        <v>5430</v>
      </c>
    </row>
    <row r="6647" spans="1:4" x14ac:dyDescent="0.25">
      <c r="A6647" t="str">
        <f>T("   731450")</f>
        <v xml:space="preserve">   731450</v>
      </c>
      <c r="B6647" t="str">
        <f>T("   Tôles et bandes déployées en fer ou en acier")</f>
        <v xml:space="preserve">   Tôles et bandes déployées en fer ou en acier</v>
      </c>
      <c r="C6647">
        <v>43809594</v>
      </c>
      <c r="D6647">
        <v>129968</v>
      </c>
    </row>
    <row r="6648" spans="1:4" x14ac:dyDescent="0.25">
      <c r="A6648" t="str">
        <f>T("   731990")</f>
        <v xml:space="preserve">   731990</v>
      </c>
      <c r="B6648" t="str">
        <f>T("   AIGUILLES À TRICOTER, PASSE-LACETS, CROCHETS, POINÇONS À BRODER ET ARTICLES SIMIL., POUR USAGE À LA MAIN, EN FER OU EN ACIER")</f>
        <v xml:space="preserve">   AIGUILLES À TRICOTER, PASSE-LACETS, CROCHETS, POINÇONS À BRODER ET ARTICLES SIMIL., POUR USAGE À LA MAIN, EN FER OU EN ACIER</v>
      </c>
      <c r="C6648">
        <v>21091</v>
      </c>
      <c r="D6648">
        <v>12</v>
      </c>
    </row>
    <row r="6649" spans="1:4" x14ac:dyDescent="0.25">
      <c r="A6649" t="str">
        <f>T("   732111")</f>
        <v xml:space="preserve">   732111</v>
      </c>
      <c r="B6649" t="s">
        <v>356</v>
      </c>
      <c r="C6649">
        <v>13026816</v>
      </c>
      <c r="D6649">
        <v>21636</v>
      </c>
    </row>
    <row r="6650" spans="1:4" x14ac:dyDescent="0.25">
      <c r="A6650" t="str">
        <f>T("   732393")</f>
        <v xml:space="preserve">   732393</v>
      </c>
      <c r="B6650" t="s">
        <v>360</v>
      </c>
      <c r="C6650">
        <v>2347377</v>
      </c>
      <c r="D6650">
        <v>3124</v>
      </c>
    </row>
    <row r="6651" spans="1:4" x14ac:dyDescent="0.25">
      <c r="A6651" t="str">
        <f>T("   732399")</f>
        <v xml:space="preserve">   732399</v>
      </c>
      <c r="B6651" t="s">
        <v>362</v>
      </c>
      <c r="C6651">
        <v>6133503</v>
      </c>
      <c r="D6651">
        <v>7765</v>
      </c>
    </row>
    <row r="6652" spans="1:4" x14ac:dyDescent="0.25">
      <c r="A6652" t="str">
        <f>T("   732591")</f>
        <v xml:space="preserve">   732591</v>
      </c>
      <c r="B6652" t="str">
        <f>T("   Boulets et simil., pour broyeurs, moulés (sauf en fonte non malléable)")</f>
        <v xml:space="preserve">   Boulets et simil., pour broyeurs, moulés (sauf en fonte non malléable)</v>
      </c>
      <c r="C6652">
        <v>203593464</v>
      </c>
      <c r="D6652">
        <v>258555</v>
      </c>
    </row>
    <row r="6653" spans="1:4" x14ac:dyDescent="0.25">
      <c r="A6653" t="str">
        <f>T("   732690")</f>
        <v xml:space="preserve">   732690</v>
      </c>
      <c r="B6653"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6653">
        <v>2875</v>
      </c>
      <c r="D6653">
        <v>2</v>
      </c>
    </row>
    <row r="6654" spans="1:4" x14ac:dyDescent="0.25">
      <c r="A6654" t="str">
        <f>T("   750890")</f>
        <v xml:space="preserve">   750890</v>
      </c>
      <c r="B6654" t="str">
        <f>T("   Ouvrages en nickel, n.d.a.")</f>
        <v xml:space="preserve">   Ouvrages en nickel, n.d.a.</v>
      </c>
      <c r="C6654">
        <v>1000000</v>
      </c>
      <c r="D6654">
        <v>1890</v>
      </c>
    </row>
    <row r="6655" spans="1:4" x14ac:dyDescent="0.25">
      <c r="A6655" t="str">
        <f>T("   760110")</f>
        <v xml:space="preserve">   760110</v>
      </c>
      <c r="B6655" t="str">
        <f>T("   Aluminium non allié, sous forme brute")</f>
        <v xml:space="preserve">   Aluminium non allié, sous forme brute</v>
      </c>
      <c r="C6655">
        <v>12500000</v>
      </c>
      <c r="D6655">
        <v>17868</v>
      </c>
    </row>
    <row r="6656" spans="1:4" x14ac:dyDescent="0.25">
      <c r="A6656" t="str">
        <f>T("   760611")</f>
        <v xml:space="preserve">   760611</v>
      </c>
      <c r="B6656" t="str">
        <f>T("   TÔLES ET BANDES EN ALUMINIUM NON-ALLIÉ, D'UNE ÉPAISSEUR &gt; 0,2 MM, DE FORME CARRÉE OU RECTANGULAIRE (SAUF TÔLES ET BANDES DÉPLOYÉES)")</f>
        <v xml:space="preserve">   TÔLES ET BANDES EN ALUMINIUM NON-ALLIÉ, D'UNE ÉPAISSEUR &gt; 0,2 MM, DE FORME CARRÉE OU RECTANGULAIRE (SAUF TÔLES ET BANDES DÉPLOYÉES)</v>
      </c>
      <c r="C6656">
        <v>39707883</v>
      </c>
      <c r="D6656">
        <v>24486</v>
      </c>
    </row>
    <row r="6657" spans="1:4" x14ac:dyDescent="0.25">
      <c r="A6657" t="str">
        <f>T("   760612")</f>
        <v xml:space="preserve">   760612</v>
      </c>
      <c r="B6657" t="str">
        <f>T("   Tôles et bandes en alliages d'aluminium, d'une épaisseur &gt; 0,2 mm, de forme carrée ou rectangulaire (sauf tôles et bandes déployées)")</f>
        <v xml:space="preserve">   Tôles et bandes en alliages d'aluminium, d'une épaisseur &gt; 0,2 mm, de forme carrée ou rectangulaire (sauf tôles et bandes déployées)</v>
      </c>
      <c r="C6657">
        <v>20795155</v>
      </c>
      <c r="D6657">
        <v>18961</v>
      </c>
    </row>
    <row r="6658" spans="1:4" x14ac:dyDescent="0.25">
      <c r="A6658" t="str">
        <f>T("   760719")</f>
        <v xml:space="preserve">   760719</v>
      </c>
      <c r="B6658" t="str">
        <f>T("   Feuilles et bandes minces d'aluminium, sans support, laminées et autrement traitées, d'une épaisseur &lt;= 0,2 mm (sauf feuilles pour le marquage au fer du n° 3212 et sauf feuilles travaillées pour la décoration des sapins de Noël)")</f>
        <v xml:space="preserve">   Feuilles et bandes minces d'aluminium, sans support, laminées et autrement traitées, d'une épaisseur &lt;= 0,2 mm (sauf feuilles pour le marquage au fer du n° 3212 et sauf feuilles travaillées pour la décoration des sapins de Noël)</v>
      </c>
      <c r="C6658">
        <v>1798112</v>
      </c>
      <c r="D6658">
        <v>850</v>
      </c>
    </row>
    <row r="6659" spans="1:4" x14ac:dyDescent="0.25">
      <c r="A6659" t="str">
        <f>T("   761519")</f>
        <v xml:space="preserve">   761519</v>
      </c>
      <c r="B6659" t="s">
        <v>367</v>
      </c>
      <c r="C6659">
        <v>12103000</v>
      </c>
      <c r="D6659">
        <v>14278</v>
      </c>
    </row>
    <row r="6660" spans="1:4" x14ac:dyDescent="0.25">
      <c r="A6660" t="str">
        <f>T("   820820")</f>
        <v xml:space="preserve">   820820</v>
      </c>
      <c r="B6660" t="str">
        <f>T("   Couteaux et lames tranchantes, en métaux communs, pour machines ou pour appareils mécaniques, pour le travail du bois")</f>
        <v xml:space="preserve">   Couteaux et lames tranchantes, en métaux communs, pour machines ou pour appareils mécaniques, pour le travail du bois</v>
      </c>
      <c r="C6660">
        <v>2624854</v>
      </c>
      <c r="D6660">
        <v>5430</v>
      </c>
    </row>
    <row r="6661" spans="1:4" x14ac:dyDescent="0.25">
      <c r="A6661" t="str">
        <f>T("   830300")</f>
        <v xml:space="preserve">   830300</v>
      </c>
      <c r="B6661" t="str">
        <f>T("   Coffres-forts, portes blindées et compartiments pour chambres fortes, coffres et cassettes de sûreté et articles simil., en métaux communs")</f>
        <v xml:space="preserve">   Coffres-forts, portes blindées et compartiments pour chambres fortes, coffres et cassettes de sûreté et articles simil., en métaux communs</v>
      </c>
      <c r="C6661">
        <v>3650000</v>
      </c>
      <c r="D6661">
        <v>6500</v>
      </c>
    </row>
    <row r="6662" spans="1:4" x14ac:dyDescent="0.25">
      <c r="A6662" t="str">
        <f>T("   830630")</f>
        <v xml:space="preserve">   830630</v>
      </c>
      <c r="B6662" t="str">
        <f>T("   Cadres pour photographies, gravures ou simil., en métaux communs; miroirs, en métaux communs (sauf éléments optiques)")</f>
        <v xml:space="preserve">   Cadres pour photographies, gravures ou simil., en métaux communs; miroirs, en métaux communs (sauf éléments optiques)</v>
      </c>
      <c r="C6662">
        <v>291515</v>
      </c>
      <c r="D6662">
        <v>270</v>
      </c>
    </row>
    <row r="6663" spans="1:4" x14ac:dyDescent="0.25">
      <c r="A6663" t="str">
        <f>T("   830990")</f>
        <v xml:space="preserve">   830990</v>
      </c>
      <c r="B6663" t="str">
        <f>T("   Bouchons [y.c. les bouchons à pas de vis et les bouchons-verseurs], couvercles, capsules pour bouteilles, bondes filetées, plaques de bondes, scellés et autres accessoires d'emballage, en métaux communs (à l'excl. des bouchons-couronnes)")</f>
        <v xml:space="preserve">   Bouchons [y.c. les bouchons à pas de vis et les bouchons-verseurs], couvercles, capsules pour bouteilles, bondes filetées, plaques de bondes, scellés et autres accessoires d'emballage, en métaux communs (à l'excl. des bouchons-couronnes)</v>
      </c>
      <c r="C6663">
        <v>4474080</v>
      </c>
      <c r="D6663">
        <v>2760</v>
      </c>
    </row>
    <row r="6664" spans="1:4" x14ac:dyDescent="0.25">
      <c r="A6664" t="str">
        <f>T("   840890")</f>
        <v xml:space="preserve">   840890</v>
      </c>
      <c r="B6664" t="s">
        <v>389</v>
      </c>
      <c r="C6664">
        <v>10718745</v>
      </c>
      <c r="D6664">
        <v>730</v>
      </c>
    </row>
    <row r="6665" spans="1:4" x14ac:dyDescent="0.25">
      <c r="A6665" t="str">
        <f>T("   841320")</f>
        <v xml:space="preserve">   841320</v>
      </c>
      <c r="B6665" t="str">
        <f>T("   Pompes à bras pour liquides (sauf les pompes avec dispositif mesureur ou conçues pour en comporter du n° 8413.11 ou 8413.19)")</f>
        <v xml:space="preserve">   Pompes à bras pour liquides (sauf les pompes avec dispositif mesureur ou conçues pour en comporter du n° 8413.11 ou 8413.19)</v>
      </c>
      <c r="C6665">
        <v>32339670</v>
      </c>
      <c r="D6665">
        <v>26960</v>
      </c>
    </row>
    <row r="6666" spans="1:4" x14ac:dyDescent="0.25">
      <c r="A6666" t="str">
        <f>T("   841330")</f>
        <v xml:space="preserve">   841330</v>
      </c>
      <c r="B6666" t="str">
        <f>T("   Pompes à carburant, à huile ou à liquide de refroidissement pour moteurs à allumage par étincelles ou par compression")</f>
        <v xml:space="preserve">   Pompes à carburant, à huile ou à liquide de refroidissement pour moteurs à allumage par étincelles ou par compression</v>
      </c>
      <c r="C6666">
        <v>1152401</v>
      </c>
      <c r="D6666">
        <v>696</v>
      </c>
    </row>
    <row r="6667" spans="1:4" x14ac:dyDescent="0.25">
      <c r="A6667" t="str">
        <f>T("   841370")</f>
        <v xml:space="preserve">   841370</v>
      </c>
      <c r="B6667" t="s">
        <v>392</v>
      </c>
      <c r="C6667">
        <v>1478031</v>
      </c>
      <c r="D6667">
        <v>165</v>
      </c>
    </row>
    <row r="6668" spans="1:4" x14ac:dyDescent="0.25">
      <c r="A6668" t="str">
        <f>T("   841381")</f>
        <v xml:space="preserve">   841381</v>
      </c>
      <c r="B6668" t="s">
        <v>393</v>
      </c>
      <c r="C6668">
        <v>3016285</v>
      </c>
      <c r="D6668">
        <v>860</v>
      </c>
    </row>
    <row r="6669" spans="1:4" x14ac:dyDescent="0.25">
      <c r="A6669" t="str">
        <f>T("   841430")</f>
        <v xml:space="preserve">   841430</v>
      </c>
      <c r="B6669" t="str">
        <f>T("   Compresseurs des types utilisés pour équipements frigorifiques")</f>
        <v xml:space="preserve">   Compresseurs des types utilisés pour équipements frigorifiques</v>
      </c>
      <c r="C6669">
        <v>2911525</v>
      </c>
      <c r="D6669">
        <v>44</v>
      </c>
    </row>
    <row r="6670" spans="1:4" x14ac:dyDescent="0.25">
      <c r="A6670" t="str">
        <f>T("   841451")</f>
        <v xml:space="preserve">   841451</v>
      </c>
      <c r="B6670" t="str">
        <f>T("   Ventilateurs de table, de sol, muraux, plafonniers, de toitures ou de fenêtres, à moteur électrique incorporé, d'une puissance &lt;= 125 W")</f>
        <v xml:space="preserve">   Ventilateurs de table, de sol, muraux, plafonniers, de toitures ou de fenêtres, à moteur électrique incorporé, d'une puissance &lt;= 125 W</v>
      </c>
      <c r="C6670">
        <v>27471054</v>
      </c>
      <c r="D6670">
        <v>39714</v>
      </c>
    </row>
    <row r="6671" spans="1:4" x14ac:dyDescent="0.25">
      <c r="A6671" t="str">
        <f>T("   841810")</f>
        <v xml:space="preserve">   841810</v>
      </c>
      <c r="B6671" t="str">
        <f>T("   Réfrigérateurs et congélateurs-conservateurs combinés, avec portes extérieures séparées")</f>
        <v xml:space="preserve">   Réfrigérateurs et congélateurs-conservateurs combinés, avec portes extérieures séparées</v>
      </c>
      <c r="C6671">
        <v>20461055</v>
      </c>
      <c r="D6671">
        <v>9361</v>
      </c>
    </row>
    <row r="6672" spans="1:4" x14ac:dyDescent="0.25">
      <c r="A6672" t="str">
        <f>T("   841829")</f>
        <v xml:space="preserve">   841829</v>
      </c>
      <c r="B6672" t="str">
        <f>T("   Réfrigérateurs ménagers à absorption, non-électriques")</f>
        <v xml:space="preserve">   Réfrigérateurs ménagers à absorption, non-électriques</v>
      </c>
      <c r="C6672">
        <v>23328686</v>
      </c>
      <c r="D6672">
        <v>29223</v>
      </c>
    </row>
    <row r="6673" spans="1:4" x14ac:dyDescent="0.25">
      <c r="A6673" t="str">
        <f>T("   841850")</f>
        <v xml:space="preserve">   841850</v>
      </c>
      <c r="B6673" t="s">
        <v>400</v>
      </c>
      <c r="C6673">
        <v>82080544</v>
      </c>
      <c r="D6673">
        <v>34246</v>
      </c>
    </row>
    <row r="6674" spans="1:4" x14ac:dyDescent="0.25">
      <c r="A6674" t="str">
        <f>T("   841920")</f>
        <v xml:space="preserve">   841920</v>
      </c>
      <c r="B6674" t="str">
        <f>T("   Stérilisateurs médico-chirurgicaux ou de laboratoire")</f>
        <v xml:space="preserve">   Stérilisateurs médico-chirurgicaux ou de laboratoire</v>
      </c>
      <c r="C6674">
        <v>1210902</v>
      </c>
      <c r="D6674">
        <v>86</v>
      </c>
    </row>
    <row r="6675" spans="1:4" x14ac:dyDescent="0.25">
      <c r="A6675" t="str">
        <f>T("   841931")</f>
        <v xml:space="preserve">   841931</v>
      </c>
      <c r="B6675" t="str">
        <f>T("   Séchoirs pour produits agricoles")</f>
        <v xml:space="preserve">   Séchoirs pour produits agricoles</v>
      </c>
      <c r="C6675">
        <v>13437345</v>
      </c>
      <c r="D6675">
        <v>5550</v>
      </c>
    </row>
    <row r="6676" spans="1:4" x14ac:dyDescent="0.25">
      <c r="A6676" t="str">
        <f>T("   841989")</f>
        <v xml:space="preserve">   841989</v>
      </c>
      <c r="B6676" t="s">
        <v>401</v>
      </c>
      <c r="C6676">
        <v>1133917</v>
      </c>
      <c r="D6676">
        <v>2088</v>
      </c>
    </row>
    <row r="6677" spans="1:4" x14ac:dyDescent="0.25">
      <c r="A6677" t="str">
        <f>T("   842121")</f>
        <v xml:space="preserve">   842121</v>
      </c>
      <c r="B6677" t="str">
        <f>T("   Appareils pour la filtration ou l'épuration des eaux")</f>
        <v xml:space="preserve">   Appareils pour la filtration ou l'épuration des eaux</v>
      </c>
      <c r="C6677">
        <v>1853849</v>
      </c>
      <c r="D6677">
        <v>3162</v>
      </c>
    </row>
    <row r="6678" spans="1:4" x14ac:dyDescent="0.25">
      <c r="A6678" t="str">
        <f>T("   842230")</f>
        <v xml:space="preserve">   842230</v>
      </c>
      <c r="B6678" t="str">
        <f>T("   Machines et appareils à remplir, fermer, boucher ou étiqueter les bouteilles, boîtes, sacs ou autres contenants; machines et appareils à capsuler les bouteilles, pots, tubes et contenants analogues; appareils à gazéifier les boissons")</f>
        <v xml:space="preserve">   Machines et appareils à remplir, fermer, boucher ou étiqueter les bouteilles, boîtes, sacs ou autres contenants; machines et appareils à capsuler les bouteilles, pots, tubes et contenants analogues; appareils à gazéifier les boissons</v>
      </c>
      <c r="C6678">
        <v>1966148</v>
      </c>
      <c r="D6678">
        <v>4050</v>
      </c>
    </row>
    <row r="6679" spans="1:4" x14ac:dyDescent="0.25">
      <c r="A6679" t="str">
        <f>T("   842240")</f>
        <v xml:space="preserve">   842240</v>
      </c>
      <c r="B6679" t="s">
        <v>402</v>
      </c>
      <c r="C6679">
        <v>10708199</v>
      </c>
      <c r="D6679">
        <v>3500</v>
      </c>
    </row>
    <row r="6680" spans="1:4" x14ac:dyDescent="0.25">
      <c r="A6680" t="str">
        <f>T("   842389")</f>
        <v xml:space="preserve">   842389</v>
      </c>
      <c r="B6680" t="str">
        <f>T("   Appareils et instruments de pesage, portée &gt; 5000 kg")</f>
        <v xml:space="preserve">   Appareils et instruments de pesage, portée &gt; 5000 kg</v>
      </c>
      <c r="C6680">
        <v>81643</v>
      </c>
      <c r="D6680">
        <v>100</v>
      </c>
    </row>
    <row r="6681" spans="1:4" x14ac:dyDescent="0.25">
      <c r="A6681" t="str">
        <f>T("   842720")</f>
        <v xml:space="preserve">   842720</v>
      </c>
      <c r="B6681" t="str">
        <f>T("   Chariots de manutention autopropulsés, autres qu'à moteur électrique, avec dispositif de levage")</f>
        <v xml:space="preserve">   Chariots de manutention autopropulsés, autres qu'à moteur électrique, avec dispositif de levage</v>
      </c>
      <c r="C6681">
        <v>19653829</v>
      </c>
      <c r="D6681">
        <v>8510</v>
      </c>
    </row>
    <row r="6682" spans="1:4" x14ac:dyDescent="0.25">
      <c r="A6682" t="str">
        <f>T("   842839")</f>
        <v xml:space="preserve">   842839</v>
      </c>
      <c r="B6682" t="str">
        <f>T("   Appareils élévateurs, transporteurs ou convoyeurs pour marchandises, à action continue (autres que conçus pour mines au fond ou pour autres travaux souterrains, autres qu'à benne, à bande ou à courroie et autres que pneumatiques)")</f>
        <v xml:space="preserve">   Appareils élévateurs, transporteurs ou convoyeurs pour marchandises, à action continue (autres que conçus pour mines au fond ou pour autres travaux souterrains, autres qu'à benne, à bande ou à courroie et autres que pneumatiques)</v>
      </c>
      <c r="C6682">
        <v>419911</v>
      </c>
      <c r="D6682">
        <v>193</v>
      </c>
    </row>
    <row r="6683" spans="1:4" x14ac:dyDescent="0.25">
      <c r="A6683" t="str">
        <f>T("   843710")</f>
        <v xml:space="preserve">   843710</v>
      </c>
      <c r="B6683" t="str">
        <f>T("   Machines pour le nettoyage, le triage ou le criblage des grains ou des légumes secs")</f>
        <v xml:space="preserve">   Machines pour le nettoyage, le triage ou le criblage des grains ou des légumes secs</v>
      </c>
      <c r="C6683">
        <v>64415442</v>
      </c>
      <c r="D6683">
        <v>9530</v>
      </c>
    </row>
    <row r="6684" spans="1:4" x14ac:dyDescent="0.25">
      <c r="A6684" t="str">
        <f>T("   843880")</f>
        <v xml:space="preserve">   843880</v>
      </c>
      <c r="B6684" t="str">
        <f>T("   Machines et appareils pour la préparation ou la fabrication industrielles d'aliments ou de boissons, n.d.a.")</f>
        <v xml:space="preserve">   Machines et appareils pour la préparation ou la fabrication industrielles d'aliments ou de boissons, n.d.a.</v>
      </c>
      <c r="C6684">
        <v>8001861</v>
      </c>
      <c r="D6684">
        <v>4584</v>
      </c>
    </row>
    <row r="6685" spans="1:4" x14ac:dyDescent="0.25">
      <c r="A6685" t="str">
        <f>T("   846190")</f>
        <v xml:space="preserve">   846190</v>
      </c>
      <c r="B6685" t="str">
        <f>T("   Machines à raboter et autres machines-outils travaillant par enlèvement de métal, n.d.a.")</f>
        <v xml:space="preserve">   Machines à raboter et autres machines-outils travaillant par enlèvement de métal, n.d.a.</v>
      </c>
      <c r="C6685">
        <v>48030871</v>
      </c>
      <c r="D6685">
        <v>16000</v>
      </c>
    </row>
    <row r="6686" spans="1:4" x14ac:dyDescent="0.25">
      <c r="A6686" t="str">
        <f>T("   846291")</f>
        <v xml:space="preserve">   846291</v>
      </c>
      <c r="B6686" t="str">
        <f>T("   Presses hydrauliques pour le travail des métaux ou des carbures métalliques (à l'excl. des presses à forger, à rouler, à cintrer, à dresses ou à planer)")</f>
        <v xml:space="preserve">   Presses hydrauliques pour le travail des métaux ou des carbures métalliques (à l'excl. des presses à forger, à rouler, à cintrer, à dresses ou à planer)</v>
      </c>
      <c r="C6686">
        <v>19174000</v>
      </c>
      <c r="D6686">
        <v>12000</v>
      </c>
    </row>
    <row r="6687" spans="1:4" x14ac:dyDescent="0.25">
      <c r="A6687" t="str">
        <f>T("   846591")</f>
        <v xml:space="preserve">   846591</v>
      </c>
      <c r="B6687" t="str">
        <f>T("   Machines à scier, pour le travail du bois, des matières plastiques dures, etc. (autres que pour emploi à la main)")</f>
        <v xml:space="preserve">   Machines à scier, pour le travail du bois, des matières plastiques dures, etc. (autres que pour emploi à la main)</v>
      </c>
      <c r="C6687">
        <v>15966836</v>
      </c>
      <c r="D6687">
        <v>5430</v>
      </c>
    </row>
    <row r="6688" spans="1:4" x14ac:dyDescent="0.25">
      <c r="A6688" t="str">
        <f>T("   846599")</f>
        <v xml:space="preserve">   846599</v>
      </c>
      <c r="B6688" t="s">
        <v>430</v>
      </c>
      <c r="C6688">
        <v>35192902</v>
      </c>
      <c r="D6688">
        <v>16930</v>
      </c>
    </row>
    <row r="6689" spans="1:4" x14ac:dyDescent="0.25">
      <c r="A6689" t="str">
        <f>T("   846692")</f>
        <v xml:space="preserve">   846692</v>
      </c>
      <c r="B6689" t="str">
        <f>T("   Parties et accessoires pour machines-outils pour le travail du bois, des matières plastiques dures, etc., n.d.a.")</f>
        <v xml:space="preserve">   Parties et accessoires pour machines-outils pour le travail du bois, des matières plastiques dures, etc., n.d.a.</v>
      </c>
      <c r="C6689">
        <v>5544057</v>
      </c>
      <c r="D6689">
        <v>5430</v>
      </c>
    </row>
    <row r="6690" spans="1:4" x14ac:dyDescent="0.25">
      <c r="A6690" t="str">
        <f>T("   847190")</f>
        <v xml:space="preserve">   847190</v>
      </c>
      <c r="B6690"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6690">
        <v>1230314</v>
      </c>
      <c r="D6690">
        <v>375</v>
      </c>
    </row>
    <row r="6691" spans="1:4" x14ac:dyDescent="0.25">
      <c r="A6691" t="str">
        <f>T("   847439")</f>
        <v xml:space="preserve">   847439</v>
      </c>
      <c r="B6691" t="str">
        <f>T("   Machines et appareils à mélanger ou à malaxer les matières minérales solides, y.c. -les poudres et les pâtes- (sauf bétonnières et appareils à gâcher le ciment, machines à mélanger les matières minérales au bitume et sauf calandres)")</f>
        <v xml:space="preserve">   Machines et appareils à mélanger ou à malaxer les matières minérales solides, y.c. -les poudres et les pâtes- (sauf bétonnières et appareils à gâcher le ciment, machines à mélanger les matières minérales au bitume et sauf calandres)</v>
      </c>
      <c r="C6691">
        <v>259328</v>
      </c>
      <c r="D6691">
        <v>22</v>
      </c>
    </row>
    <row r="6692" spans="1:4" x14ac:dyDescent="0.25">
      <c r="A6692" t="str">
        <f>T("   847920")</f>
        <v xml:space="preserve">   847920</v>
      </c>
      <c r="B6692" t="s">
        <v>438</v>
      </c>
      <c r="C6692">
        <v>10383842</v>
      </c>
      <c r="D6692">
        <v>4485</v>
      </c>
    </row>
    <row r="6693" spans="1:4" x14ac:dyDescent="0.25">
      <c r="A6693" t="str">
        <f>T("   847990")</f>
        <v xml:space="preserve">   847990</v>
      </c>
      <c r="B6693" t="str">
        <f>T("   Parties de machines et appareils, y.c. les appareils mécaniques, n.d.a.")</f>
        <v xml:space="preserve">   Parties de machines et appareils, y.c. les appareils mécaniques, n.d.a.</v>
      </c>
      <c r="C6693">
        <v>6134040</v>
      </c>
      <c r="D6693">
        <v>570</v>
      </c>
    </row>
    <row r="6694" spans="1:4" x14ac:dyDescent="0.25">
      <c r="A6694" t="str">
        <f>T("   848180")</f>
        <v xml:space="preserve">   848180</v>
      </c>
      <c r="B6694" t="str">
        <f>T("   Articles de robinetterie et organes simil. pour tuyauteries, etc. (à l'excl. des détendeurs, valves pour transmissions oléohydrauliques ou pneumatiques, clapets et soupapes de retenue et sauf soupapes de trop-plein ou de sûreté)")</f>
        <v xml:space="preserve">   Articles de robinetterie et organes simil. pour tuyauteries, etc. (à l'excl. des détendeurs, valves pour transmissions oléohydrauliques ou pneumatiques, clapets et soupapes de retenue et sauf soupapes de trop-plein ou de sûreté)</v>
      </c>
      <c r="C6694">
        <v>28881</v>
      </c>
      <c r="D6694">
        <v>10</v>
      </c>
    </row>
    <row r="6695" spans="1:4" x14ac:dyDescent="0.25">
      <c r="A6695" t="str">
        <f>T("   848590")</f>
        <v xml:space="preserve">   848590</v>
      </c>
      <c r="B6695" t="str">
        <f>T("   Parties de machines et appareils du chapitre 84, sans caractéristiques spéciales d'utilisation, n.d.a.")</f>
        <v xml:space="preserve">   Parties de machines et appareils du chapitre 84, sans caractéristiques spéciales d'utilisation, n.d.a.</v>
      </c>
      <c r="C6695">
        <v>16612319</v>
      </c>
      <c r="D6695">
        <v>745</v>
      </c>
    </row>
    <row r="6696" spans="1:4" x14ac:dyDescent="0.25">
      <c r="A6696" t="str">
        <f>T("   850152")</f>
        <v xml:space="preserve">   850152</v>
      </c>
      <c r="B6696" t="str">
        <f>T("   Moteurs à courant alternatif, polyphasés, puissance &gt; 750 W mais &lt;= 75 kW")</f>
        <v xml:space="preserve">   Moteurs à courant alternatif, polyphasés, puissance &gt; 750 W mais &lt;= 75 kW</v>
      </c>
      <c r="C6696">
        <v>6852309</v>
      </c>
      <c r="D6696">
        <v>2370</v>
      </c>
    </row>
    <row r="6697" spans="1:4" x14ac:dyDescent="0.25">
      <c r="A6697" t="str">
        <f>T("   850162")</f>
        <v xml:space="preserve">   850162</v>
      </c>
      <c r="B6697" t="str">
        <f>T("   Alternateurs, puissance &gt; 75 kVA mais &lt;= 375 kVA")</f>
        <v xml:space="preserve">   Alternateurs, puissance &gt; 75 kVA mais &lt;= 375 kVA</v>
      </c>
      <c r="C6697">
        <v>34628980</v>
      </c>
      <c r="D6697">
        <v>10336</v>
      </c>
    </row>
    <row r="6698" spans="1:4" x14ac:dyDescent="0.25">
      <c r="A6698" t="str">
        <f>T("   850300")</f>
        <v xml:space="preserve">   850300</v>
      </c>
      <c r="B6698" t="str">
        <f>T("   Parties reconnaissables comme étant exclusivement ou principalement destinées aux moteurs et machines génératrices électriques, groupes électrogènes ou convertisseurs rotatifs électriques n.d.a.")</f>
        <v xml:space="preserve">   Parties reconnaissables comme étant exclusivement ou principalement destinées aux moteurs et machines génératrices électriques, groupes électrogènes ou convertisseurs rotatifs électriques n.d.a.</v>
      </c>
      <c r="C6698">
        <v>10572064</v>
      </c>
      <c r="D6698">
        <v>235</v>
      </c>
    </row>
    <row r="6699" spans="1:4" x14ac:dyDescent="0.25">
      <c r="A6699" t="str">
        <f>T("   850421")</f>
        <v xml:space="preserve">   850421</v>
      </c>
      <c r="B6699" t="str">
        <f>T("   Transformateurs à diélectrique liquide, puissance &lt;= 650 kVA")</f>
        <v xml:space="preserve">   Transformateurs à diélectrique liquide, puissance &lt;= 650 kVA</v>
      </c>
      <c r="C6699">
        <v>575052</v>
      </c>
      <c r="D6699">
        <v>20</v>
      </c>
    </row>
    <row r="6700" spans="1:4" x14ac:dyDescent="0.25">
      <c r="A6700" t="str">
        <f>T("   850519")</f>
        <v xml:space="preserve">   850519</v>
      </c>
      <c r="B6700" t="str">
        <f>T("   Aimants permanents et articles destinés à devenir des aimants permanents après aimantation, autres qu'en métal")</f>
        <v xml:space="preserve">   Aimants permanents et articles destinés à devenir des aimants permanents après aimantation, autres qu'en métal</v>
      </c>
      <c r="C6700">
        <v>2059488</v>
      </c>
      <c r="D6700">
        <v>105</v>
      </c>
    </row>
    <row r="6701" spans="1:4" x14ac:dyDescent="0.25">
      <c r="A6701" t="str">
        <f>T("   851140")</f>
        <v xml:space="preserve">   851140</v>
      </c>
      <c r="B6701" t="str">
        <f>T("   Démarreurs, même fonctionnant comme génératrices, pour moteurs à allumage par étincelles ou par compression")</f>
        <v xml:space="preserve">   Démarreurs, même fonctionnant comme génératrices, pour moteurs à allumage par étincelles ou par compression</v>
      </c>
      <c r="C6701">
        <v>1241042</v>
      </c>
      <c r="D6701">
        <v>66</v>
      </c>
    </row>
    <row r="6702" spans="1:4" x14ac:dyDescent="0.25">
      <c r="A6702" t="str">
        <f>T("   851180")</f>
        <v xml:space="preserve">   851180</v>
      </c>
      <c r="B6702" t="s">
        <v>448</v>
      </c>
      <c r="C6702">
        <v>1326841</v>
      </c>
      <c r="D6702">
        <v>75</v>
      </c>
    </row>
    <row r="6703" spans="1:4" x14ac:dyDescent="0.25">
      <c r="A6703" t="str">
        <f>T("   851310")</f>
        <v xml:space="preserve">   851310</v>
      </c>
      <c r="B6703" t="str">
        <f>T("   Lampes électriques portatives, destinées à fonctionner au moyen de leur propre source d'énergie")</f>
        <v xml:space="preserve">   Lampes électriques portatives, destinées à fonctionner au moyen de leur propre source d'énergie</v>
      </c>
      <c r="C6703">
        <v>279855</v>
      </c>
      <c r="D6703">
        <v>215</v>
      </c>
    </row>
    <row r="6704" spans="1:4" x14ac:dyDescent="0.25">
      <c r="A6704" t="str">
        <f>T("   851719")</f>
        <v xml:space="preserve">   851719</v>
      </c>
      <c r="B6704" t="str">
        <f>T("   Postes téléphoniques d'usagers pour la téléphonie par fil; visiophones (sauf postes téléphoniques d'usagers par fil à combinés sans fil et parlophones)")</f>
        <v xml:space="preserve">   Postes téléphoniques d'usagers pour la téléphonie par fil; visiophones (sauf postes téléphoniques d'usagers par fil à combinés sans fil et parlophones)</v>
      </c>
      <c r="C6704">
        <v>14018841</v>
      </c>
      <c r="D6704">
        <v>4321</v>
      </c>
    </row>
    <row r="6705" spans="1:4" x14ac:dyDescent="0.25">
      <c r="A6705" t="str">
        <f>T("   851730")</f>
        <v xml:space="preserve">   851730</v>
      </c>
      <c r="B6705" t="str">
        <f>T("   Appareils de commutation pour la téléphonie ou la télégraphie par fil")</f>
        <v xml:space="preserve">   Appareils de commutation pour la téléphonie ou la télégraphie par fil</v>
      </c>
      <c r="C6705">
        <v>400000</v>
      </c>
      <c r="D6705">
        <v>31</v>
      </c>
    </row>
    <row r="6706" spans="1:4" x14ac:dyDescent="0.25">
      <c r="A6706" t="str">
        <f>T("   851780")</f>
        <v xml:space="preserve">   851780</v>
      </c>
      <c r="B6706" t="s">
        <v>453</v>
      </c>
      <c r="C6706">
        <v>12034812</v>
      </c>
      <c r="D6706">
        <v>3890</v>
      </c>
    </row>
    <row r="6707" spans="1:4" x14ac:dyDescent="0.25">
      <c r="A6707" t="str">
        <f>T("   851790")</f>
        <v xml:space="preserve">   851790</v>
      </c>
      <c r="B6707" t="s">
        <v>454</v>
      </c>
      <c r="C6707">
        <v>20674609</v>
      </c>
      <c r="D6707">
        <v>6653</v>
      </c>
    </row>
    <row r="6708" spans="1:4" x14ac:dyDescent="0.25">
      <c r="A6708" t="str">
        <f>T("   851999")</f>
        <v xml:space="preserve">   851999</v>
      </c>
      <c r="B6708" t="str">
        <f>T("   Appareils de reproduction du son, n'incorporant pas de dispositif d'enregistrement du son (autres que tourne-disques, électrophones commandés par l'introduction d'une pièce de monnaie ou d'un jeton, machines à dicter et lecteurs de cassettes)")</f>
        <v xml:space="preserve">   Appareils de reproduction du son, n'incorporant pas de dispositif d'enregistrement du son (autres que tourne-disques, électrophones commandés par l'introduction d'une pièce de monnaie ou d'un jeton, machines à dicter et lecteurs de cassettes)</v>
      </c>
      <c r="C6708">
        <v>2000000</v>
      </c>
      <c r="D6708">
        <v>3000</v>
      </c>
    </row>
    <row r="6709" spans="1:4" x14ac:dyDescent="0.25">
      <c r="A6709" t="str">
        <f>T("   852390")</f>
        <v xml:space="preserve">   852390</v>
      </c>
      <c r="B6709" t="str">
        <f>T("   SUPPORTS PRÉPARÉS POUR L'ENREGISTREMENT DU SON OU POUR ENREGISTREMENTS ANALOGUES, NON-ENREGISTRÉS (AUTRES QUE BANDES ET DISQUES MAGNÉTIQUES, CARTES MUNIES D'UNE PISTE MAGNÉTIQUE ET PRODUITS DU CHAPITRE 37)")</f>
        <v xml:space="preserve">   SUPPORTS PRÉPARÉS POUR L'ENREGISTREMENT DU SON OU POUR ENREGISTREMENTS ANALOGUES, NON-ENREGISTRÉS (AUTRES QUE BANDES ET DISQUES MAGNÉTIQUES, CARTES MUNIES D'UNE PISTE MAGNÉTIQUE ET PRODUITS DU CHAPITRE 37)</v>
      </c>
      <c r="C6709">
        <v>3280</v>
      </c>
      <c r="D6709">
        <v>0.5</v>
      </c>
    </row>
    <row r="6710" spans="1:4" x14ac:dyDescent="0.25">
      <c r="A6710" t="str">
        <f>T("   853590")</f>
        <v xml:space="preserve">   853590</v>
      </c>
      <c r="B6710" t="s">
        <v>468</v>
      </c>
      <c r="C6710">
        <v>138215522</v>
      </c>
      <c r="D6710">
        <v>66828</v>
      </c>
    </row>
    <row r="6711" spans="1:4" x14ac:dyDescent="0.25">
      <c r="A6711" t="str">
        <f>T("   853650")</f>
        <v xml:space="preserve">   853650</v>
      </c>
      <c r="B6711" t="str">
        <f>T("   Interrupteurs, sectionneurs et commutateurs, pour une tension &lt;= 1.000 V (autres que relais et disjoncteurs)")</f>
        <v xml:space="preserve">   Interrupteurs, sectionneurs et commutateurs, pour une tension &lt;= 1.000 V (autres que relais et disjoncteurs)</v>
      </c>
      <c r="C6711">
        <v>285285</v>
      </c>
      <c r="D6711">
        <v>70</v>
      </c>
    </row>
    <row r="6712" spans="1:4" x14ac:dyDescent="0.25">
      <c r="A6712" t="str">
        <f>T("   853890")</f>
        <v xml:space="preserve">   853890</v>
      </c>
      <c r="B6712" t="s">
        <v>470</v>
      </c>
      <c r="C6712">
        <v>6101147</v>
      </c>
      <c r="D6712">
        <v>110</v>
      </c>
    </row>
    <row r="6713" spans="1:4" x14ac:dyDescent="0.25">
      <c r="A6713" t="str">
        <f>T("   854210")</f>
        <v xml:space="preserve">   854210</v>
      </c>
      <c r="B6713" t="str">
        <f>T("   Cartes munies d'un circuit intégré électronique [cartes intelligentes], munies ou non d'une piste magnétique")</f>
        <v xml:space="preserve">   Cartes munies d'un circuit intégré électronique [cartes intelligentes], munies ou non d'une piste magnétique</v>
      </c>
      <c r="C6713">
        <v>112420</v>
      </c>
      <c r="D6713">
        <v>4</v>
      </c>
    </row>
    <row r="6714" spans="1:4" x14ac:dyDescent="0.25">
      <c r="A6714" t="str">
        <f>T("   854430")</f>
        <v xml:space="preserve">   854430</v>
      </c>
      <c r="B6714" t="str">
        <f>T("   Jeux de fils pour bougies d'allumage et autres jeux de fils, pour moyens de transport")</f>
        <v xml:space="preserve">   Jeux de fils pour bougies d'allumage et autres jeux de fils, pour moyens de transport</v>
      </c>
      <c r="C6714">
        <v>3663308</v>
      </c>
      <c r="D6714">
        <v>100</v>
      </c>
    </row>
    <row r="6715" spans="1:4" x14ac:dyDescent="0.25">
      <c r="A6715" t="str">
        <f>T("   870190")</f>
        <v xml:space="preserve">   870190</v>
      </c>
      <c r="B6715" t="str">
        <f>T("   Tracteurs (à l'excl. des chariots-tracteurs du n° 8709, ainsi que des motoculteurs, tracteurs routiers pour semi-remorques et tracteurs à chenilles)")</f>
        <v xml:space="preserve">   Tracteurs (à l'excl. des chariots-tracteurs du n° 8709, ainsi que des motoculteurs, tracteurs routiers pour semi-remorques et tracteurs à chenilles)</v>
      </c>
      <c r="C6715">
        <v>46050934</v>
      </c>
      <c r="D6715">
        <v>11480</v>
      </c>
    </row>
    <row r="6716" spans="1:4" x14ac:dyDescent="0.25">
      <c r="A6716" t="str">
        <f>T("   870899")</f>
        <v xml:space="preserve">   870899</v>
      </c>
      <c r="B6716"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6716">
        <v>83370</v>
      </c>
      <c r="D6716">
        <v>1</v>
      </c>
    </row>
    <row r="6717" spans="1:4" x14ac:dyDescent="0.25">
      <c r="A6717" t="str">
        <f>T("   871120")</f>
        <v xml:space="preserve">   871120</v>
      </c>
      <c r="B6717" t="str">
        <f>T("   Motocycles à moteur à piston alternatif, cylindrée &gt; 50 cm³ mais &lt;= 250 cm³")</f>
        <v xml:space="preserve">   Motocycles à moteur à piston alternatif, cylindrée &gt; 50 cm³ mais &lt;= 250 cm³</v>
      </c>
      <c r="C6717">
        <v>73441830</v>
      </c>
      <c r="D6717">
        <v>48730</v>
      </c>
    </row>
    <row r="6718" spans="1:4" x14ac:dyDescent="0.25">
      <c r="A6718" t="str">
        <f>T("   871200")</f>
        <v xml:space="preserve">   871200</v>
      </c>
      <c r="B6718" t="str">
        <f>T("   BICYCLETTES ET AUTRES CYCLES, -Y.C. LES TRIPORTEURS-, SANS MOTEUR")</f>
        <v xml:space="preserve">   BICYCLETTES ET AUTRES CYCLES, -Y.C. LES TRIPORTEURS-, SANS MOTEUR</v>
      </c>
      <c r="C6718">
        <v>2403461</v>
      </c>
      <c r="D6718">
        <v>9000</v>
      </c>
    </row>
    <row r="6719" spans="1:4" x14ac:dyDescent="0.25">
      <c r="A6719" t="str">
        <f>T("   871499")</f>
        <v xml:space="preserve">   871499</v>
      </c>
      <c r="B6719" t="str">
        <f>T("   Parties et accessoires, de bicyclettes, n.d.a.")</f>
        <v xml:space="preserve">   Parties et accessoires, de bicyclettes, n.d.a.</v>
      </c>
      <c r="C6719">
        <v>5541703</v>
      </c>
      <c r="D6719">
        <v>5069</v>
      </c>
    </row>
    <row r="6720" spans="1:4" x14ac:dyDescent="0.25">
      <c r="A6720" t="str">
        <f>T("   871631")</f>
        <v xml:space="preserve">   871631</v>
      </c>
      <c r="B6720" t="str">
        <f>T("   Remorques-citernes ne circulant pas sur rails")</f>
        <v xml:space="preserve">   Remorques-citernes ne circulant pas sur rails</v>
      </c>
      <c r="C6720">
        <v>2400000</v>
      </c>
      <c r="D6720">
        <v>8500</v>
      </c>
    </row>
    <row r="6721" spans="1:4" x14ac:dyDescent="0.25">
      <c r="A6721" t="str">
        <f>T("   901819")</f>
        <v xml:space="preserve">   901819</v>
      </c>
      <c r="B6721" t="s">
        <v>497</v>
      </c>
      <c r="C6721">
        <v>6291969</v>
      </c>
      <c r="D6721">
        <v>760</v>
      </c>
    </row>
    <row r="6722" spans="1:4" x14ac:dyDescent="0.25">
      <c r="A6722" t="str">
        <f>T("   901839")</f>
        <v xml:space="preserve">   901839</v>
      </c>
      <c r="B6722" t="str">
        <f>T("   AIGUILLES, CTHEÉTERS, CANULES ET SIMIL. POUR LA MÉDECINE (SAUF SERINGUES, AIGUILLES TUBULAIRES EN MÉTAL ET AIGUILLES À SUTURES)")</f>
        <v xml:space="preserve">   AIGUILLES, CTHEÉTERS, CANULES ET SIMIL. POUR LA MÉDECINE (SAUF SERINGUES, AIGUILLES TUBULAIRES EN MÉTAL ET AIGUILLES À SUTURES)</v>
      </c>
      <c r="C6722">
        <v>1864996</v>
      </c>
      <c r="D6722">
        <v>395</v>
      </c>
    </row>
    <row r="6723" spans="1:4" x14ac:dyDescent="0.25">
      <c r="A6723" t="str">
        <f>T("   901890")</f>
        <v xml:space="preserve">   901890</v>
      </c>
      <c r="B6723" t="str">
        <f>T("   Instruments et appareils pour la médecine, la chirurgie ou l'art vétérinaire, n.d.a.")</f>
        <v xml:space="preserve">   Instruments et appareils pour la médecine, la chirurgie ou l'art vétérinaire, n.d.a.</v>
      </c>
      <c r="C6723">
        <v>10307407</v>
      </c>
      <c r="D6723">
        <v>2628.5</v>
      </c>
    </row>
    <row r="6724" spans="1:4" x14ac:dyDescent="0.25">
      <c r="A6724" t="str">
        <f>T("   902110")</f>
        <v xml:space="preserve">   902110</v>
      </c>
      <c r="B6724" t="str">
        <f>T("   Appareils d'orthopédie ou pour fractures")</f>
        <v xml:space="preserve">   Appareils d'orthopédie ou pour fractures</v>
      </c>
      <c r="C6724">
        <v>10796446</v>
      </c>
      <c r="D6724">
        <v>483</v>
      </c>
    </row>
    <row r="6725" spans="1:4" x14ac:dyDescent="0.25">
      <c r="A6725" t="str">
        <f>T("   920790")</f>
        <v xml:space="preserve">   920790</v>
      </c>
      <c r="B6725" t="str">
        <f>T("   Accordéons électriques et autres instruments de musique électriques")</f>
        <v xml:space="preserve">   Accordéons électriques et autres instruments de musique électriques</v>
      </c>
      <c r="C6725">
        <v>59439</v>
      </c>
      <c r="D6725">
        <v>79</v>
      </c>
    </row>
    <row r="6726" spans="1:4" x14ac:dyDescent="0.25">
      <c r="A6726" t="str">
        <f>T("   940320")</f>
        <v xml:space="preserve">   940320</v>
      </c>
      <c r="B6726" t="str">
        <f>T("   Meubles en métal, sauf meubles de bureau, sièges et mobilier pour la médecine, la chirurgie, l'art dentaire ou vétérinaire")</f>
        <v xml:space="preserve">   Meubles en métal, sauf meubles de bureau, sièges et mobilier pour la médecine, la chirurgie, l'art dentaire ou vétérinaire</v>
      </c>
      <c r="C6726">
        <v>1500000</v>
      </c>
      <c r="D6726">
        <v>2000</v>
      </c>
    </row>
    <row r="6727" spans="1:4" x14ac:dyDescent="0.25">
      <c r="A6727" t="str">
        <f>T("   940490")</f>
        <v xml:space="preserve">   940490</v>
      </c>
      <c r="B6727" t="s">
        <v>508</v>
      </c>
      <c r="C6727">
        <v>721578</v>
      </c>
      <c r="D6727">
        <v>940</v>
      </c>
    </row>
    <row r="6728" spans="1:4" x14ac:dyDescent="0.25">
      <c r="A6728" t="str">
        <f>T("   950590")</f>
        <v xml:space="preserve">   950590</v>
      </c>
      <c r="B6728" t="str">
        <f>T("   Articles pour fêtes, carnaval ou autres divertissements, y.c. les articles de magie et articles-surprises, n.d.a.")</f>
        <v xml:space="preserve">   Articles pour fêtes, carnaval ou autres divertissements, y.c. les articles de magie et articles-surprises, n.d.a.</v>
      </c>
      <c r="C6728">
        <v>209897</v>
      </c>
      <c r="D6728">
        <v>200</v>
      </c>
    </row>
    <row r="6729" spans="1:4" x14ac:dyDescent="0.25">
      <c r="A6729" t="str">
        <f>T("   960329")</f>
        <v xml:space="preserve">   960329</v>
      </c>
      <c r="B6729" t="str">
        <f>T("   Brosses et pinceaux à barbe, à cheveux, à cils ou à ongles et autres brosses pour la toilette des personnes, sauf brosses à dent")</f>
        <v xml:space="preserve">   Brosses et pinceaux à barbe, à cheveux, à cils ou à ongles et autres brosses pour la toilette des personnes, sauf brosses à dent</v>
      </c>
      <c r="C6729">
        <v>221135</v>
      </c>
      <c r="D6729">
        <v>60</v>
      </c>
    </row>
    <row r="6730" spans="1:4" x14ac:dyDescent="0.25">
      <c r="A6730" t="str">
        <f>T("   960810")</f>
        <v xml:space="preserve">   960810</v>
      </c>
      <c r="B6730" t="str">
        <f>T("   Stylos et crayons à bille")</f>
        <v xml:space="preserve">   Stylos et crayons à bille</v>
      </c>
      <c r="C6730">
        <v>8265913</v>
      </c>
      <c r="D6730">
        <v>8742</v>
      </c>
    </row>
    <row r="6731" spans="1:4" x14ac:dyDescent="0.25">
      <c r="A6731" t="str">
        <f>T("   960839")</f>
        <v xml:space="preserve">   960839</v>
      </c>
      <c r="B6731" t="str">
        <f>T("   Stylos à plume et autres stylos (autres qu'à dessiner à l'encre de Chine)")</f>
        <v xml:space="preserve">   Stylos à plume et autres stylos (autres qu'à dessiner à l'encre de Chine)</v>
      </c>
      <c r="C6731">
        <v>84619</v>
      </c>
      <c r="D6731">
        <v>397</v>
      </c>
    </row>
    <row r="6732" spans="1:4" x14ac:dyDescent="0.25">
      <c r="A6732" t="str">
        <f>T("IR")</f>
        <v>IR</v>
      </c>
      <c r="B6732" t="str">
        <f>T("Iran, République Islqmique d'")</f>
        <v>Iran, République Islqmique d'</v>
      </c>
    </row>
    <row r="6733" spans="1:4" x14ac:dyDescent="0.25">
      <c r="A6733" t="str">
        <f>T("   ZZ_Total_Produit_SH6")</f>
        <v xml:space="preserve">   ZZ_Total_Produit_SH6</v>
      </c>
      <c r="B6733" t="str">
        <f>T("   ZZ_Total_Produit_SH6")</f>
        <v xml:space="preserve">   ZZ_Total_Produit_SH6</v>
      </c>
      <c r="C6733">
        <v>16330750</v>
      </c>
      <c r="D6733">
        <v>32333</v>
      </c>
    </row>
    <row r="6734" spans="1:4" x14ac:dyDescent="0.25">
      <c r="A6734" t="str">
        <f>T("   271019")</f>
        <v xml:space="preserve">   271019</v>
      </c>
      <c r="B6734" t="str">
        <f>T("   Huiles moyennes et préparations, de pétrole ou de minéraux bitumineux, n.d.a.")</f>
        <v xml:space="preserve">   Huiles moyennes et préparations, de pétrole ou de minéraux bitumineux, n.d.a.</v>
      </c>
      <c r="C6734">
        <v>2771794</v>
      </c>
      <c r="D6734">
        <v>18025</v>
      </c>
    </row>
    <row r="6735" spans="1:4" x14ac:dyDescent="0.25">
      <c r="A6735" t="str">
        <f>T("   392410")</f>
        <v xml:space="preserve">   392410</v>
      </c>
      <c r="B6735" t="str">
        <f>T("   Vaisselle et autres articles pour le service de la table ou de la cuisine, en matières plastiques")</f>
        <v xml:space="preserve">   Vaisselle et autres articles pour le service de la table ou de la cuisine, en matières plastiques</v>
      </c>
      <c r="C6735">
        <v>1230817</v>
      </c>
      <c r="D6735">
        <v>1883</v>
      </c>
    </row>
    <row r="6736" spans="1:4" x14ac:dyDescent="0.25">
      <c r="A6736" t="str">
        <f>T("   401691")</f>
        <v xml:space="preserve">   401691</v>
      </c>
      <c r="B6736" t="s">
        <v>156</v>
      </c>
      <c r="C6736">
        <v>550973</v>
      </c>
      <c r="D6736">
        <v>299</v>
      </c>
    </row>
    <row r="6737" spans="1:4" x14ac:dyDescent="0.25">
      <c r="A6737" t="str">
        <f>T("   701339")</f>
        <v xml:space="preserve">   701339</v>
      </c>
      <c r="B6737" t="s">
        <v>327</v>
      </c>
      <c r="C6737">
        <v>519642</v>
      </c>
      <c r="D6737">
        <v>1156</v>
      </c>
    </row>
    <row r="6738" spans="1:4" x14ac:dyDescent="0.25">
      <c r="A6738" t="str">
        <f>T("   732399")</f>
        <v xml:space="preserve">   732399</v>
      </c>
      <c r="B6738" t="s">
        <v>362</v>
      </c>
      <c r="C6738">
        <v>1344254</v>
      </c>
      <c r="D6738">
        <v>1763</v>
      </c>
    </row>
    <row r="6739" spans="1:4" x14ac:dyDescent="0.25">
      <c r="A6739" t="str">
        <f>T("   841829")</f>
        <v xml:space="preserve">   841829</v>
      </c>
      <c r="B6739" t="str">
        <f>T("   Réfrigérateurs ménagers à absorption, non-électriques")</f>
        <v xml:space="preserve">   Réfrigérateurs ménagers à absorption, non-électriques</v>
      </c>
      <c r="C6739">
        <v>6867484</v>
      </c>
      <c r="D6739">
        <v>6762</v>
      </c>
    </row>
    <row r="6740" spans="1:4" x14ac:dyDescent="0.25">
      <c r="A6740" t="str">
        <f>T("   851660")</f>
        <v xml:space="preserve">   851660</v>
      </c>
      <c r="B6740" t="str">
        <f>T("   Fours, cuisinières, réchauds, tables de cuisson, grils et rôtissoires électriques, pour usages domestiques (sauf fours destinés au chauffage des locaux et fours à micro-ondes)")</f>
        <v xml:space="preserve">   Fours, cuisinières, réchauds, tables de cuisson, grils et rôtissoires électriques, pour usages domestiques (sauf fours destinés au chauffage des locaux et fours à micro-ondes)</v>
      </c>
      <c r="C6740">
        <v>540316</v>
      </c>
      <c r="D6740">
        <v>230</v>
      </c>
    </row>
    <row r="6741" spans="1:4" x14ac:dyDescent="0.25">
      <c r="A6741" t="str">
        <f>T("   852190")</f>
        <v xml:space="preserve">   852190</v>
      </c>
      <c r="B6741" t="s">
        <v>458</v>
      </c>
      <c r="C6741">
        <v>426286</v>
      </c>
      <c r="D6741">
        <v>115</v>
      </c>
    </row>
    <row r="6742" spans="1:4" x14ac:dyDescent="0.25">
      <c r="A6742" t="str">
        <f>T("   853650")</f>
        <v xml:space="preserve">   853650</v>
      </c>
      <c r="B6742" t="str">
        <f>T("   Interrupteurs, sectionneurs et commutateurs, pour une tension &lt;= 1.000 V (autres que relais et disjoncteurs)")</f>
        <v xml:space="preserve">   Interrupteurs, sectionneurs et commutateurs, pour une tension &lt;= 1.000 V (autres que relais et disjoncteurs)</v>
      </c>
      <c r="C6742">
        <v>935866</v>
      </c>
      <c r="D6742">
        <v>823</v>
      </c>
    </row>
    <row r="6743" spans="1:4" x14ac:dyDescent="0.25">
      <c r="A6743" t="str">
        <f>T("   940380")</f>
        <v xml:space="preserve">   940380</v>
      </c>
      <c r="B6743" t="str">
        <f>T("   Meubles en rotin, osier, bambou ou autres matières (sauf métal, bois et matières plastiques)")</f>
        <v xml:space="preserve">   Meubles en rotin, osier, bambou ou autres matières (sauf métal, bois et matières plastiques)</v>
      </c>
      <c r="C6743">
        <v>1143318</v>
      </c>
      <c r="D6743">
        <v>1277</v>
      </c>
    </row>
    <row r="6744" spans="1:4" x14ac:dyDescent="0.25">
      <c r="A6744" t="str">
        <f>T("IS")</f>
        <v>IS</v>
      </c>
      <c r="B6744" t="str">
        <f>T("Islande")</f>
        <v>Islande</v>
      </c>
    </row>
    <row r="6745" spans="1:4" x14ac:dyDescent="0.25">
      <c r="A6745" t="str">
        <f>T("   ZZ_Total_Produit_SH6")</f>
        <v xml:space="preserve">   ZZ_Total_Produit_SH6</v>
      </c>
      <c r="B6745" t="str">
        <f>T("   ZZ_Total_Produit_SH6")</f>
        <v xml:space="preserve">   ZZ_Total_Produit_SH6</v>
      </c>
      <c r="C6745">
        <v>242850636</v>
      </c>
      <c r="D6745">
        <v>52141</v>
      </c>
    </row>
    <row r="6746" spans="1:4" x14ac:dyDescent="0.25">
      <c r="A6746" t="str">
        <f>T("   020714")</f>
        <v xml:space="preserve">   020714</v>
      </c>
      <c r="B6746" t="str">
        <f>T("   Morceaux et abats comestibles de coqs et de poules [des espèces domestiques], congelés")</f>
        <v xml:space="preserve">   Morceaux et abats comestibles de coqs et de poules [des espèces domestiques], congelés</v>
      </c>
      <c r="C6746">
        <v>29396192</v>
      </c>
      <c r="D6746">
        <v>47260</v>
      </c>
    </row>
    <row r="6747" spans="1:4" x14ac:dyDescent="0.25">
      <c r="A6747" t="str">
        <f>T("   300490")</f>
        <v xml:space="preserve">   300490</v>
      </c>
      <c r="B6747" t="s">
        <v>78</v>
      </c>
      <c r="C6747">
        <v>156679344</v>
      </c>
      <c r="D6747">
        <v>1664</v>
      </c>
    </row>
    <row r="6748" spans="1:4" x14ac:dyDescent="0.25">
      <c r="A6748" t="str">
        <f>T("   382200")</f>
        <v xml:space="preserve">   382200</v>
      </c>
      <c r="B6748" t="s">
        <v>125</v>
      </c>
      <c r="C6748">
        <v>53926875</v>
      </c>
      <c r="D6748">
        <v>185</v>
      </c>
    </row>
    <row r="6749" spans="1:4" x14ac:dyDescent="0.25">
      <c r="A6749" t="str">
        <f>T("   482010")</f>
        <v xml:space="preserve">   482010</v>
      </c>
      <c r="B6749" t="str">
        <f>T("   Registres, livres comptables, carnets de notes, de commandes ou de quittances, blocs-mémorandums, blocs de papier à lettres, agendas et ouvrages simil., en papier ou carton")</f>
        <v xml:space="preserve">   Registres, livres comptables, carnets de notes, de commandes ou de quittances, blocs-mémorandums, blocs de papier à lettres, agendas et ouvrages simil., en papier ou carton</v>
      </c>
      <c r="C6749">
        <v>77978</v>
      </c>
      <c r="D6749">
        <v>10</v>
      </c>
    </row>
    <row r="6750" spans="1:4" x14ac:dyDescent="0.25">
      <c r="A6750" t="str">
        <f>T("   491110")</f>
        <v xml:space="preserve">   491110</v>
      </c>
      <c r="B6750" t="str">
        <f>T("   Imprimés publicitaires, catalogues commerciaux et simil.")</f>
        <v xml:space="preserve">   Imprimés publicitaires, catalogues commerciaux et simil.</v>
      </c>
      <c r="C6750">
        <v>112972</v>
      </c>
      <c r="D6750">
        <v>10</v>
      </c>
    </row>
    <row r="6751" spans="1:4" x14ac:dyDescent="0.25">
      <c r="A6751" t="str">
        <f>T("   851780")</f>
        <v xml:space="preserve">   851780</v>
      </c>
      <c r="B6751" t="s">
        <v>453</v>
      </c>
      <c r="C6751">
        <v>293338</v>
      </c>
      <c r="D6751">
        <v>1</v>
      </c>
    </row>
    <row r="6752" spans="1:4" x14ac:dyDescent="0.25">
      <c r="A6752" t="str">
        <f>T("   870322")</f>
        <v xml:space="preserve">   870322</v>
      </c>
      <c r="B6752" t="s">
        <v>475</v>
      </c>
      <c r="C6752">
        <v>1350000</v>
      </c>
      <c r="D6752">
        <v>1800</v>
      </c>
    </row>
    <row r="6753" spans="1:4" x14ac:dyDescent="0.25">
      <c r="A6753" t="str">
        <f>T("   901890")</f>
        <v xml:space="preserve">   901890</v>
      </c>
      <c r="B6753" t="str">
        <f>T("   Instruments et appareils pour la médecine, la chirurgie ou l'art vétérinaire, n.d.a.")</f>
        <v xml:space="preserve">   Instruments et appareils pour la médecine, la chirurgie ou l'art vétérinaire, n.d.a.</v>
      </c>
      <c r="C6753">
        <v>963937</v>
      </c>
      <c r="D6753">
        <v>11</v>
      </c>
    </row>
    <row r="6754" spans="1:4" x14ac:dyDescent="0.25">
      <c r="A6754" t="str">
        <f>T("   940380")</f>
        <v xml:space="preserve">   940380</v>
      </c>
      <c r="B6754" t="str">
        <f>T("   Meubles en rotin, osier, bambou ou autres matières (sauf métal, bois et matières plastiques)")</f>
        <v xml:space="preserve">   Meubles en rotin, osier, bambou ou autres matières (sauf métal, bois et matières plastiques)</v>
      </c>
      <c r="C6754">
        <v>50000</v>
      </c>
      <c r="D6754">
        <v>1200</v>
      </c>
    </row>
    <row r="6755" spans="1:4" x14ac:dyDescent="0.25">
      <c r="A6755" t="str">
        <f>T("IT")</f>
        <v>IT</v>
      </c>
      <c r="B6755" t="str">
        <f>T("Italie")</f>
        <v>Italie</v>
      </c>
    </row>
    <row r="6756" spans="1:4" x14ac:dyDescent="0.25">
      <c r="A6756" t="str">
        <f>T("   ZZ_Total_Produit_SH6")</f>
        <v xml:space="preserve">   ZZ_Total_Produit_SH6</v>
      </c>
      <c r="B6756" t="str">
        <f>T("   ZZ_Total_Produit_SH6")</f>
        <v xml:space="preserve">   ZZ_Total_Produit_SH6</v>
      </c>
      <c r="C6756">
        <v>10957712233.181</v>
      </c>
      <c r="D6756">
        <v>18109580.739999998</v>
      </c>
    </row>
    <row r="6757" spans="1:4" x14ac:dyDescent="0.25">
      <c r="A6757" t="str">
        <f>T("   020712")</f>
        <v xml:space="preserve">   020712</v>
      </c>
      <c r="B6757" t="str">
        <f>T("   COQS ET POULES [DES ESPÈCES DOMESTIQUES], NON-DÉCOUPÉS EN MORCEAUX, CONGELÉS")</f>
        <v xml:space="preserve">   COQS ET POULES [DES ESPÈCES DOMESTIQUES], NON-DÉCOUPÉS EN MORCEAUX, CONGELÉS</v>
      </c>
      <c r="C6757">
        <v>2962951068</v>
      </c>
      <c r="D6757">
        <v>4758844</v>
      </c>
    </row>
    <row r="6758" spans="1:4" x14ac:dyDescent="0.25">
      <c r="A6758" t="str">
        <f>T("   020714")</f>
        <v xml:space="preserve">   020714</v>
      </c>
      <c r="B6758" t="str">
        <f>T("   Morceaux et abats comestibles de coqs et de poules [des espèces domestiques], congelés")</f>
        <v xml:space="preserve">   Morceaux et abats comestibles de coqs et de poules [des espèces domestiques], congelés</v>
      </c>
      <c r="C6758">
        <v>900935529</v>
      </c>
      <c r="D6758">
        <v>1441888</v>
      </c>
    </row>
    <row r="6759" spans="1:4" x14ac:dyDescent="0.25">
      <c r="A6759" t="str">
        <f>T("   020727")</f>
        <v xml:space="preserve">   020727</v>
      </c>
      <c r="B6759" t="str">
        <f>T("   Morceaux et abats comestibles de dindes et dindons [des espèces domestiques], congelés")</f>
        <v xml:space="preserve">   Morceaux et abats comestibles de dindes et dindons [des espèces domestiques], congelés</v>
      </c>
      <c r="C6759">
        <v>1248308614</v>
      </c>
      <c r="D6759">
        <v>2005660</v>
      </c>
    </row>
    <row r="6760" spans="1:4" x14ac:dyDescent="0.25">
      <c r="A6760" t="str">
        <f>T("   020810")</f>
        <v xml:space="preserve">   020810</v>
      </c>
      <c r="B6760" t="str">
        <f>T("   Viandes et abats comestibles de lapins ou de lièvres, frais, réfrigérés ou congelés")</f>
        <v xml:space="preserve">   Viandes et abats comestibles de lapins ou de lièvres, frais, réfrigérés ou congelés</v>
      </c>
      <c r="C6760">
        <v>4507224</v>
      </c>
      <c r="D6760">
        <v>7246.34</v>
      </c>
    </row>
    <row r="6761" spans="1:4" x14ac:dyDescent="0.25">
      <c r="A6761" t="str">
        <f>T("   030379")</f>
        <v xml:space="preserve">   030379</v>
      </c>
      <c r="B6761" t="s">
        <v>15</v>
      </c>
      <c r="C6761">
        <v>6415289</v>
      </c>
      <c r="D6761">
        <v>28512</v>
      </c>
    </row>
    <row r="6762" spans="1:4" x14ac:dyDescent="0.25">
      <c r="A6762" t="str">
        <f>T("   040210")</f>
        <v xml:space="preserve">   040210</v>
      </c>
      <c r="B6762" t="str">
        <f>T("   Lait et crème de lait, en poudre, en granulés ou sous d'autres formes solides, d'une teneur en poids de matières grasses &lt;= 1,5%")</f>
        <v xml:space="preserve">   Lait et crème de lait, en poudre, en granulés ou sous d'autres formes solides, d'une teneur en poids de matières grasses &lt;= 1,5%</v>
      </c>
      <c r="C6762">
        <v>5097471</v>
      </c>
      <c r="D6762">
        <v>226</v>
      </c>
    </row>
    <row r="6763" spans="1:4" x14ac:dyDescent="0.25">
      <c r="A6763" t="str">
        <f>T("   040299")</f>
        <v xml:space="preserve">   040299</v>
      </c>
      <c r="B6763" t="str">
        <f>T("   Lait et crème de lait, concentrés, additionnés de sucre ou d'autres édulcorants (à l'excl. des laits et crèmes de lait en poudre, en granulés ou sous d'autres formes solides)")</f>
        <v xml:space="preserve">   Lait et crème de lait, concentrés, additionnés de sucre ou d'autres édulcorants (à l'excl. des laits et crèmes de lait en poudre, en granulés ou sous d'autres formes solides)</v>
      </c>
      <c r="C6763">
        <v>386360</v>
      </c>
      <c r="D6763">
        <v>2287</v>
      </c>
    </row>
    <row r="6764" spans="1:4" x14ac:dyDescent="0.25">
      <c r="A6764" t="str">
        <f>T("   040390")</f>
        <v xml:space="preserve">   040390</v>
      </c>
      <c r="B6764" t="str">
        <f>T("   Babeurre, lait et crème caillés, képhir et autres laits et crèmes fermentés ou acidifiés, même concentrés ou additionnés de sucre ou d'autres édulcorants ou aromatisés ou additionnés de fruits ou de cacao (à l'excl. des yoghourts)")</f>
        <v xml:space="preserve">   Babeurre, lait et crème caillés, képhir et autres laits et crèmes fermentés ou acidifiés, même concentrés ou additionnés de sucre ou d'autres édulcorants ou aromatisés ou additionnés de fruits ou de cacao (à l'excl. des yoghourts)</v>
      </c>
      <c r="C6764">
        <v>16668600</v>
      </c>
      <c r="D6764">
        <v>21780</v>
      </c>
    </row>
    <row r="6765" spans="1:4" x14ac:dyDescent="0.25">
      <c r="A6765" t="str">
        <f>T("   050400")</f>
        <v xml:space="preserve">   050400</v>
      </c>
      <c r="B6765" t="str">
        <f>T("   Boyaux, vessies et estomacs d'animaux (autres que ceux de poissons), entiers ou en morceaux, à l'état frais, réfrigéré, congelé, salé ou en saumure, séché ou fumé")</f>
        <v xml:space="preserve">   Boyaux, vessies et estomacs d'animaux (autres que ceux de poissons), entiers ou en morceaux, à l'état frais, réfrigéré, congelé, salé ou en saumure, séché ou fumé</v>
      </c>
      <c r="C6765">
        <v>29716813</v>
      </c>
      <c r="D6765">
        <v>34298</v>
      </c>
    </row>
    <row r="6766" spans="1:4" x14ac:dyDescent="0.25">
      <c r="A6766" t="str">
        <f>T("   070810")</f>
        <v xml:space="preserve">   070810</v>
      </c>
      <c r="B6766" t="str">
        <f>T("   Pois 'Pisum sativum', écossés ou non, à l'état frais ou réfrigéré")</f>
        <v xml:space="preserve">   Pois 'Pisum sativum', écossés ou non, à l'état frais ou réfrigéré</v>
      </c>
      <c r="C6766">
        <v>15425699</v>
      </c>
      <c r="D6766">
        <v>58720</v>
      </c>
    </row>
    <row r="6767" spans="1:4" x14ac:dyDescent="0.25">
      <c r="A6767" t="str">
        <f>T("   080610")</f>
        <v xml:space="preserve">   080610</v>
      </c>
      <c r="B6767" t="str">
        <f>T("   Raisins, frais")</f>
        <v xml:space="preserve">   Raisins, frais</v>
      </c>
      <c r="C6767">
        <v>118524787</v>
      </c>
      <c r="D6767">
        <v>268163</v>
      </c>
    </row>
    <row r="6768" spans="1:4" x14ac:dyDescent="0.25">
      <c r="A6768" t="str">
        <f>T("   080810")</f>
        <v xml:space="preserve">   080810</v>
      </c>
      <c r="B6768" t="str">
        <f>T("   Pommes, fraîches")</f>
        <v xml:space="preserve">   Pommes, fraîches</v>
      </c>
      <c r="C6768">
        <v>27071030</v>
      </c>
      <c r="D6768">
        <v>59536</v>
      </c>
    </row>
    <row r="6769" spans="1:4" x14ac:dyDescent="0.25">
      <c r="A6769" t="str">
        <f>T("   090121")</f>
        <v xml:space="preserve">   090121</v>
      </c>
      <c r="B6769" t="str">
        <f>T("   Café, torréfié, non décaféiné")</f>
        <v xml:space="preserve">   Café, torréfié, non décaféiné</v>
      </c>
      <c r="C6769">
        <v>3325717</v>
      </c>
      <c r="D6769">
        <v>452</v>
      </c>
    </row>
    <row r="6770" spans="1:4" x14ac:dyDescent="0.25">
      <c r="A6770" t="str">
        <f>T("   100630")</f>
        <v xml:space="preserve">   100630</v>
      </c>
      <c r="B6770" t="str">
        <f>T("   Riz semi-blanchi ou blanchi, même poli ou glacé")</f>
        <v xml:space="preserve">   Riz semi-blanchi ou blanchi, même poli ou glacé</v>
      </c>
      <c r="C6770">
        <v>1107261</v>
      </c>
      <c r="D6770">
        <v>952</v>
      </c>
    </row>
    <row r="6771" spans="1:4" x14ac:dyDescent="0.25">
      <c r="A6771" t="str">
        <f>T("   110100")</f>
        <v xml:space="preserve">   110100</v>
      </c>
      <c r="B6771" t="str">
        <f>T("   Farines de froment [blé] ou de méteil")</f>
        <v xml:space="preserve">   Farines de froment [blé] ou de méteil</v>
      </c>
      <c r="C6771">
        <v>6290018.0949999997</v>
      </c>
      <c r="D6771">
        <v>23350</v>
      </c>
    </row>
    <row r="6772" spans="1:4" x14ac:dyDescent="0.25">
      <c r="A6772" t="str">
        <f>T("   150990")</f>
        <v xml:space="preserve">   150990</v>
      </c>
      <c r="B6772" t="str">
        <f>T("   Huile d'olive et ses fractions, traitées mais non chimiquement modifiées, obtenues, à partir des fruits de l'olivier, uniquement par des procédés mécaniques ou physiques, dans des conditions n'altérant pas l'huile")</f>
        <v xml:space="preserve">   Huile d'olive et ses fractions, traitées mais non chimiquement modifiées, obtenues, à partir des fruits de l'olivier, uniquement par des procédés mécaniques ou physiques, dans des conditions n'altérant pas l'huile</v>
      </c>
      <c r="C6772">
        <v>960000</v>
      </c>
      <c r="D6772">
        <v>170</v>
      </c>
    </row>
    <row r="6773" spans="1:4" x14ac:dyDescent="0.25">
      <c r="A6773" t="str">
        <f>T("   151190")</f>
        <v xml:space="preserve">   151190</v>
      </c>
      <c r="B6773" t="str">
        <f>T("   Huile de palme et ses fractions, même raffinées, mais non chimiquement modifiées (à l'excl. de l'huile de palme brute)")</f>
        <v xml:space="preserve">   Huile de palme et ses fractions, même raffinées, mais non chimiquement modifiées (à l'excl. de l'huile de palme brute)</v>
      </c>
      <c r="C6773">
        <v>160793.08600000001</v>
      </c>
      <c r="D6773">
        <v>426</v>
      </c>
    </row>
    <row r="6774" spans="1:4" x14ac:dyDescent="0.25">
      <c r="A6774" t="str">
        <f>T("   160100")</f>
        <v xml:space="preserve">   160100</v>
      </c>
      <c r="B6774" t="str">
        <f>T("   Saucisses, saucissons et produits simil., de viande, d'abats ou de sang; préparations alimentaires à base de ces produits")</f>
        <v xml:space="preserve">   Saucisses, saucissons et produits simil., de viande, d'abats ou de sang; préparations alimentaires à base de ces produits</v>
      </c>
      <c r="C6774">
        <v>3750123</v>
      </c>
      <c r="D6774">
        <v>5000</v>
      </c>
    </row>
    <row r="6775" spans="1:4" x14ac:dyDescent="0.25">
      <c r="A6775" t="str">
        <f>T("   160239")</f>
        <v xml:space="preserve">   160239</v>
      </c>
      <c r="B6775" t="s">
        <v>39</v>
      </c>
      <c r="C6775">
        <v>6475637</v>
      </c>
      <c r="D6775">
        <v>10410</v>
      </c>
    </row>
    <row r="6776" spans="1:4" x14ac:dyDescent="0.25">
      <c r="A6776" t="str">
        <f>T("   160290")</f>
        <v xml:space="preserve">   160290</v>
      </c>
      <c r="B6776" t="s">
        <v>42</v>
      </c>
      <c r="C6776">
        <v>241394</v>
      </c>
      <c r="D6776">
        <v>528</v>
      </c>
    </row>
    <row r="6777" spans="1:4" x14ac:dyDescent="0.25">
      <c r="A6777" t="str">
        <f>T("   190110")</f>
        <v xml:space="preserve">   190110</v>
      </c>
      <c r="B6777" t="s">
        <v>46</v>
      </c>
      <c r="C6777">
        <v>80000</v>
      </c>
      <c r="D6777">
        <v>400</v>
      </c>
    </row>
    <row r="6778" spans="1:4" x14ac:dyDescent="0.25">
      <c r="A6778" t="str">
        <f>T("   190230")</f>
        <v xml:space="preserve">   190230</v>
      </c>
      <c r="B6778" t="str">
        <f>T("   Pâtes alimentaires, cuites ou autrement préparées (à l'excl. des pâtes alimentaires farcies)")</f>
        <v xml:space="preserve">   Pâtes alimentaires, cuites ou autrement préparées (à l'excl. des pâtes alimentaires farcies)</v>
      </c>
      <c r="C6778">
        <v>104686689</v>
      </c>
      <c r="D6778">
        <v>404285</v>
      </c>
    </row>
    <row r="6779" spans="1:4" x14ac:dyDescent="0.25">
      <c r="A6779" t="str">
        <f>T("   190490")</f>
        <v xml:space="preserve">   190490</v>
      </c>
      <c r="B6779" t="s">
        <v>49</v>
      </c>
      <c r="C6779">
        <v>2500519</v>
      </c>
      <c r="D6779">
        <v>1240</v>
      </c>
    </row>
    <row r="6780" spans="1:4" x14ac:dyDescent="0.25">
      <c r="A6780" t="str">
        <f>T("   190540")</f>
        <v xml:space="preserve">   190540</v>
      </c>
      <c r="B6780" t="str">
        <f>T("   Biscottes, pain grillé et produits simil. grillés")</f>
        <v xml:space="preserve">   Biscottes, pain grillé et produits simil. grillés</v>
      </c>
      <c r="C6780">
        <v>854060</v>
      </c>
      <c r="D6780">
        <v>836</v>
      </c>
    </row>
    <row r="6781" spans="1:4" x14ac:dyDescent="0.25">
      <c r="A6781" t="str">
        <f>T("   200290")</f>
        <v xml:space="preserve">   200290</v>
      </c>
      <c r="B6781" t="str">
        <f>T("   Tomates, préparées ou conservées autrement qu'au vinaigre ou à l'acide acétique (à l'excl. des tomates entières ou en morceaux)")</f>
        <v xml:space="preserve">   Tomates, préparées ou conservées autrement qu'au vinaigre ou à l'acide acétique (à l'excl. des tomates entières ou en morceaux)</v>
      </c>
      <c r="C6781">
        <v>39039064</v>
      </c>
      <c r="D6781">
        <v>145143</v>
      </c>
    </row>
    <row r="6782" spans="1:4" x14ac:dyDescent="0.25">
      <c r="A6782" t="str">
        <f>T("   200390")</f>
        <v xml:space="preserve">   200390</v>
      </c>
      <c r="B6782" t="str">
        <f>T("   Champignons, préparés ou conservés autrement qu'au vinaigre ou à l'acide acétique (à l'excl. des champignons du genre 'Agaricus')")</f>
        <v xml:space="preserve">   Champignons, préparés ou conservés autrement qu'au vinaigre ou à l'acide acétique (à l'excl. des champignons du genre 'Agaricus')</v>
      </c>
      <c r="C6782">
        <v>165302</v>
      </c>
      <c r="D6782">
        <v>1143</v>
      </c>
    </row>
    <row r="6783" spans="1:4" x14ac:dyDescent="0.25">
      <c r="A6783" t="str">
        <f>T("   200540")</f>
        <v xml:space="preserve">   200540</v>
      </c>
      <c r="B6783" t="str">
        <f>T("   Pois [Pisum sativum], préparés ou conservés autrement qu'au vinaigre ou à l'acide acétique, non congelés")</f>
        <v xml:space="preserve">   Pois [Pisum sativum], préparés ou conservés autrement qu'au vinaigre ou à l'acide acétique, non congelés</v>
      </c>
      <c r="C6783">
        <v>4827865</v>
      </c>
      <c r="D6783">
        <v>19000</v>
      </c>
    </row>
    <row r="6784" spans="1:4" x14ac:dyDescent="0.25">
      <c r="A6784" t="str">
        <f>T("   200912")</f>
        <v xml:space="preserve">   200912</v>
      </c>
      <c r="B6784" t="str">
        <f>T("   Jus d'orange, non fermentés, sans addition d'alcool, avec ou sans addition de sucre ou d'autres édulcorants, d'une valeur Brix &lt;= 20 à 20°C (à l'excl. des jus congelés)")</f>
        <v xml:space="preserve">   Jus d'orange, non fermentés, sans addition d'alcool, avec ou sans addition de sucre ou d'autres édulcorants, d'une valeur Brix &lt;= 20 à 20°C (à l'excl. des jus congelés)</v>
      </c>
      <c r="C6784">
        <v>2067212</v>
      </c>
      <c r="D6784">
        <v>3500</v>
      </c>
    </row>
    <row r="6785" spans="1:4" x14ac:dyDescent="0.25">
      <c r="A6785" t="str">
        <f>T("   200980")</f>
        <v xml:space="preserve">   200980</v>
      </c>
      <c r="B6785" t="str">
        <f>T("   JUS DE FRUITS OU DE LÉGUMES, NON-FERMENTÉS, SANS ADDITION D'ALCOOL, AVEC OU SANS ADDITION DE SUCRE OU D'AUTRES ÉDULCORANTS (À L'EXCL. DES MÉLANGES AINSI QUE DES JUS D'AGRUMES, D'ANANAS, DE TOMATE, DE RAISIN - Y.C. LES MOÛTS - ET DE POMME)")</f>
        <v xml:space="preserve">   JUS DE FRUITS OU DE LÉGUMES, NON-FERMENTÉS, SANS ADDITION D'ALCOOL, AVEC OU SANS ADDITION DE SUCRE OU D'AUTRES ÉDULCORANTS (À L'EXCL. DES MÉLANGES AINSI QUE DES JUS D'AGRUMES, D'ANANAS, DE TOMATE, DE RAISIN - Y.C. LES MOÛTS - ET DE POMME)</v>
      </c>
      <c r="C6785">
        <v>6059615</v>
      </c>
      <c r="D6785">
        <v>52470</v>
      </c>
    </row>
    <row r="6786" spans="1:4" x14ac:dyDescent="0.25">
      <c r="A6786" t="str">
        <f>T("   200990")</f>
        <v xml:space="preserve">   200990</v>
      </c>
      <c r="B6786" t="str">
        <f>T("   MÉLANGES DE JUS DE FRUITS - Y.C. LES MOÛTS DE RAISIN - ET DE JUS DE LÉGUMES, NON-FERMENTÉS, SANS ADDITION D'ALCOOL, AVEC OU SANS ADDITION DE SUCRE OU D'AUTRES ÉDULCORANTS")</f>
        <v xml:space="preserve">   MÉLANGES DE JUS DE FRUITS - Y.C. LES MOÛTS DE RAISIN - ET DE JUS DE LÉGUMES, NON-FERMENTÉS, SANS ADDITION D'ALCOOL, AVEC OU SANS ADDITION DE SUCRE OU D'AUTRES ÉDULCORANTS</v>
      </c>
      <c r="C6786">
        <v>300000</v>
      </c>
      <c r="D6786">
        <v>240</v>
      </c>
    </row>
    <row r="6787" spans="1:4" x14ac:dyDescent="0.25">
      <c r="A6787" t="str">
        <f>T("   210390")</f>
        <v xml:space="preserve">   210390</v>
      </c>
      <c r="B6787" t="str">
        <f>T("   Préparations pour sauces et sauces préparées; condiments et assaisonnements, composés (à l'excl. de la sauce de soja, du tomato ketchup et autres sauces tomates, de la farine de moutarde et de la moutarde préparée)")</f>
        <v xml:space="preserve">   Préparations pour sauces et sauces préparées; condiments et assaisonnements, composés (à l'excl. de la sauce de soja, du tomato ketchup et autres sauces tomates, de la farine de moutarde et de la moutarde préparée)</v>
      </c>
      <c r="C6787">
        <v>3577606</v>
      </c>
      <c r="D6787">
        <v>6108</v>
      </c>
    </row>
    <row r="6788" spans="1:4" x14ac:dyDescent="0.25">
      <c r="A6788" t="str">
        <f>T("   210690")</f>
        <v xml:space="preserve">   210690</v>
      </c>
      <c r="B6788" t="str">
        <f>T("   Préparations alimentaires, n.d.a.")</f>
        <v xml:space="preserve">   Préparations alimentaires, n.d.a.</v>
      </c>
      <c r="C6788">
        <v>2013633</v>
      </c>
      <c r="D6788">
        <v>9587</v>
      </c>
    </row>
    <row r="6789" spans="1:4" x14ac:dyDescent="0.25">
      <c r="A6789" t="str">
        <f>T("   220290")</f>
        <v xml:space="preserve">   220290</v>
      </c>
      <c r="B6789" t="str">
        <f>T("   BOISSONS NON-ALCOOLIQUES (À L'EXCL. DES EAUX, DES JUS DE FRUITS OU DE LÉGUMES AINSI QUE DU LAIT)")</f>
        <v xml:space="preserve">   BOISSONS NON-ALCOOLIQUES (À L'EXCL. DES EAUX, DES JUS DE FRUITS OU DE LÉGUMES AINSI QUE DU LAIT)</v>
      </c>
      <c r="C6789">
        <v>10639914</v>
      </c>
      <c r="D6789">
        <v>35250</v>
      </c>
    </row>
    <row r="6790" spans="1:4" x14ac:dyDescent="0.25">
      <c r="A6790" t="str">
        <f>T("   220410")</f>
        <v xml:space="preserve">   220410</v>
      </c>
      <c r="B6790" t="str">
        <f>T("   Vins mousseux produits à partir de raisins frais")</f>
        <v xml:space="preserve">   Vins mousseux produits à partir de raisins frais</v>
      </c>
      <c r="C6790">
        <v>7957</v>
      </c>
      <c r="D6790">
        <v>15</v>
      </c>
    </row>
    <row r="6791" spans="1:4" x14ac:dyDescent="0.25">
      <c r="A6791" t="str">
        <f>T("   220421")</f>
        <v xml:space="preserve">   220421</v>
      </c>
      <c r="B6791" t="str">
        <f>T("   Vins de raisins frais, y.c. les vins enrichis en alcool (à l'excl. des vins mousseux); moûts de raisins dont la fermentation a été empêchée ou arrêtée par addition d'alcool, en récipients d'une contenance &lt;= 2 l")</f>
        <v xml:space="preserve">   Vins de raisins frais, y.c. les vins enrichis en alcool (à l'excl. des vins mousseux); moûts de raisins dont la fermentation a été empêchée ou arrêtée par addition d'alcool, en récipients d'une contenance &lt;= 2 l</v>
      </c>
      <c r="C6791">
        <v>90044</v>
      </c>
      <c r="D6791">
        <v>165</v>
      </c>
    </row>
    <row r="6792" spans="1:4" x14ac:dyDescent="0.25">
      <c r="A6792" t="str">
        <f>T("   220429")</f>
        <v xml:space="preserve">   220429</v>
      </c>
      <c r="B6792" t="str">
        <f>T("   VINS DE RAISINS FRAIS, Y.C. LES VINS ENRICHIS EN ALCOOL, ET MOÛTS DE RAISINS DONT LA FERMENTATION A ÉTÉ EMPÊCHÉE OU ARRÊTÉE PAR ADDITION D'ALCOOL, EN RÉCIPIENTS D'UNE CONTENANCE &gt; 2 L (À L'EXCL. DES VINS MOUSSEUX)")</f>
        <v xml:space="preserve">   VINS DE RAISINS FRAIS, Y.C. LES VINS ENRICHIS EN ALCOOL, ET MOÛTS DE RAISINS DONT LA FERMENTATION A ÉTÉ EMPÊCHÉE OU ARRÊTÉE PAR ADDITION D'ALCOOL, EN RÉCIPIENTS D'UNE CONTENANCE &gt; 2 L (À L'EXCL. DES VINS MOUSSEUX)</v>
      </c>
      <c r="C6792">
        <v>13274663</v>
      </c>
      <c r="D6792">
        <v>14466</v>
      </c>
    </row>
    <row r="6793" spans="1:4" x14ac:dyDescent="0.25">
      <c r="A6793" t="str">
        <f>T("   220510")</f>
        <v xml:space="preserve">   220510</v>
      </c>
      <c r="B6793" t="str">
        <f>T("   Vermouths et autres vins de raisins frais préparés à l'aide de plantes ou de substances aromatiques, en récipients d'une contenance &lt;= 2 l")</f>
        <v xml:space="preserve">   Vermouths et autres vins de raisins frais préparés à l'aide de plantes ou de substances aromatiques, en récipients d'une contenance &lt;= 2 l</v>
      </c>
      <c r="C6793">
        <v>52869573</v>
      </c>
      <c r="D6793">
        <v>99862</v>
      </c>
    </row>
    <row r="6794" spans="1:4" x14ac:dyDescent="0.25">
      <c r="A6794" t="str">
        <f>T("   220820")</f>
        <v xml:space="preserve">   220820</v>
      </c>
      <c r="B6794" t="str">
        <f>T("   Eaux-de-vie de vin ou de marc de raisins")</f>
        <v xml:space="preserve">   Eaux-de-vie de vin ou de marc de raisins</v>
      </c>
      <c r="C6794">
        <v>31447</v>
      </c>
      <c r="D6794">
        <v>57</v>
      </c>
    </row>
    <row r="6795" spans="1:4" x14ac:dyDescent="0.25">
      <c r="A6795" t="str">
        <f>T("   220870")</f>
        <v xml:space="preserve">   220870</v>
      </c>
      <c r="B6795" t="str">
        <f>T("   LIQUEURS")</f>
        <v xml:space="preserve">   LIQUEURS</v>
      </c>
      <c r="C6795">
        <v>410893</v>
      </c>
      <c r="D6795">
        <v>615</v>
      </c>
    </row>
    <row r="6796" spans="1:4" x14ac:dyDescent="0.25">
      <c r="A6796" t="str">
        <f>T("   220890")</f>
        <v xml:space="preserve">   220890</v>
      </c>
      <c r="B6796" t="s">
        <v>58</v>
      </c>
      <c r="C6796">
        <v>3007380</v>
      </c>
      <c r="D6796">
        <v>6412</v>
      </c>
    </row>
    <row r="6797" spans="1:4" x14ac:dyDescent="0.25">
      <c r="A6797" t="str">
        <f>T("   230990")</f>
        <v xml:space="preserve">   230990</v>
      </c>
      <c r="B6797" t="str">
        <f>T("   Préparations des types utilisés pour l'alimentation des animaux (à l'excl. des aliments pour chiens ou chats conditionnés pour la vente au détail)")</f>
        <v xml:space="preserve">   Préparations des types utilisés pour l'alimentation des animaux (à l'excl. des aliments pour chiens ou chats conditionnés pour la vente au détail)</v>
      </c>
      <c r="C6797">
        <v>1226258</v>
      </c>
      <c r="D6797">
        <v>18800</v>
      </c>
    </row>
    <row r="6798" spans="1:4" x14ac:dyDescent="0.25">
      <c r="A6798" t="str">
        <f>T("   250510")</f>
        <v xml:space="preserve">   250510</v>
      </c>
      <c r="B6798" t="str">
        <f>T("   Sables siliceux et sables quartzeux, même colorés")</f>
        <v xml:space="preserve">   Sables siliceux et sables quartzeux, même colorés</v>
      </c>
      <c r="C6798">
        <v>9026427</v>
      </c>
      <c r="D6798">
        <v>48302</v>
      </c>
    </row>
    <row r="6799" spans="1:4" x14ac:dyDescent="0.25">
      <c r="A6799" t="str">
        <f>T("   251512")</f>
        <v xml:space="preserve">   251512</v>
      </c>
      <c r="B6799" t="str">
        <f>T("   MARBRES ET TRAVERTINS, SIMPL. DÉBITÉS, PAR SCIAGE OU AUTREMENT, EN BLOCS OU EN PLAQUES DE FORME CARRÉE OU RECTANGULAIRE")</f>
        <v xml:space="preserve">   MARBRES ET TRAVERTINS, SIMPL. DÉBITÉS, PAR SCIAGE OU AUTREMENT, EN BLOCS OU EN PLAQUES DE FORME CARRÉE OU RECTANGULAIRE</v>
      </c>
      <c r="C6799">
        <v>3340673</v>
      </c>
      <c r="D6799">
        <v>27000</v>
      </c>
    </row>
    <row r="6800" spans="1:4" x14ac:dyDescent="0.25">
      <c r="A6800" t="str">
        <f>T("   251710")</f>
        <v xml:space="preserve">   251710</v>
      </c>
      <c r="B6800" t="str">
        <f>T("   Cailloux, graviers, pierres concassées, des types généralement utilisés pour le bétonnage ou pour l'empierrement des routes, des voies ferrées ou autres ballasts, galets et silex, même traités thermiquement")</f>
        <v xml:space="preserve">   Cailloux, graviers, pierres concassées, des types généralement utilisés pour le bétonnage ou pour l'empierrement des routes, des voies ferrées ou autres ballasts, galets et silex, même traités thermiquement</v>
      </c>
      <c r="C6800">
        <v>3089960</v>
      </c>
      <c r="D6800">
        <v>21000</v>
      </c>
    </row>
    <row r="6801" spans="1:4" x14ac:dyDescent="0.25">
      <c r="A6801" t="str">
        <f>T("   252329")</f>
        <v xml:space="preserve">   252329</v>
      </c>
      <c r="B6801" t="str">
        <f>T("   Ciment Portland normal ou modéré (à l'excl. des ciments Portland blancs, même colorés artificiellement)")</f>
        <v xml:space="preserve">   Ciment Portland normal ou modéré (à l'excl. des ciments Portland blancs, même colorés artificiellement)</v>
      </c>
      <c r="C6801">
        <v>14425817</v>
      </c>
      <c r="D6801">
        <v>377003</v>
      </c>
    </row>
    <row r="6802" spans="1:4" x14ac:dyDescent="0.25">
      <c r="A6802" t="str">
        <f>T("   252390")</f>
        <v xml:space="preserve">   252390</v>
      </c>
      <c r="B6802" t="str">
        <f>T("   Ciments, même colorés (à l'excl. des ciments Portland et des ciments alumineux)")</f>
        <v xml:space="preserve">   Ciments, même colorés (à l'excl. des ciments Portland et des ciments alumineux)</v>
      </c>
      <c r="C6802">
        <v>1064000</v>
      </c>
      <c r="D6802">
        <v>28000</v>
      </c>
    </row>
    <row r="6803" spans="1:4" x14ac:dyDescent="0.25">
      <c r="A6803" t="str">
        <f>T("   271011")</f>
        <v xml:space="preserve">   271011</v>
      </c>
      <c r="B6803" t="str">
        <f>T("   HUILES LÉGÈRES ET PRÉPARATIONS DE PÉTROLE OU DE MINÉRAUX BITUMINEUX DISTILLANT EN VOLUME, Y.C. LES PERTES, &gt;= 90% À 210°C, D'APRÈS LA MÉTHODE ASTM D 86")</f>
        <v xml:space="preserve">   HUILES LÉGÈRES ET PRÉPARATIONS DE PÉTROLE OU DE MINÉRAUX BITUMINEUX DISTILLANT EN VOLUME, Y.C. LES PERTES, &gt;= 90% À 210°C, D'APRÈS LA MÉTHODE ASTM D 86</v>
      </c>
      <c r="C6803">
        <v>244615381</v>
      </c>
      <c r="D6803">
        <v>1325247</v>
      </c>
    </row>
    <row r="6804" spans="1:4" x14ac:dyDescent="0.25">
      <c r="A6804" t="str">
        <f>T("   271019")</f>
        <v xml:space="preserve">   271019</v>
      </c>
      <c r="B6804" t="str">
        <f>T("   Huiles moyennes et préparations, de pétrole ou de minéraux bitumineux, n.d.a.")</f>
        <v xml:space="preserve">   Huiles moyennes et préparations, de pétrole ou de minéraux bitumineux, n.d.a.</v>
      </c>
      <c r="C6804">
        <v>177339</v>
      </c>
      <c r="D6804">
        <v>1</v>
      </c>
    </row>
    <row r="6805" spans="1:4" x14ac:dyDescent="0.25">
      <c r="A6805" t="str">
        <f>T("   271220")</f>
        <v xml:space="preserve">   271220</v>
      </c>
      <c r="B6805" t="str">
        <f>T("   Paraffine contenant en poids &lt; 0,75% d'huile")</f>
        <v xml:space="preserve">   Paraffine contenant en poids &lt; 0,75% d'huile</v>
      </c>
      <c r="C6805">
        <v>366157</v>
      </c>
      <c r="D6805">
        <v>168</v>
      </c>
    </row>
    <row r="6806" spans="1:4" x14ac:dyDescent="0.25">
      <c r="A6806" t="str">
        <f>T("   280300")</f>
        <v xml:space="preserve">   280300</v>
      </c>
      <c r="B6806" t="str">
        <f>T("   Carbone [noirs de carbone et autres formes de carbone, n.d.a.]")</f>
        <v xml:space="preserve">   Carbone [noirs de carbone et autres formes de carbone, n.d.a.]</v>
      </c>
      <c r="C6806">
        <v>379145</v>
      </c>
      <c r="D6806">
        <v>100</v>
      </c>
    </row>
    <row r="6807" spans="1:4" x14ac:dyDescent="0.25">
      <c r="A6807" t="str">
        <f>T("   282110")</f>
        <v xml:space="preserve">   282110</v>
      </c>
      <c r="B6807" t="str">
        <f>T("   Oxydes et hydroxydes de fer")</f>
        <v xml:space="preserve">   Oxydes et hydroxydes de fer</v>
      </c>
      <c r="C6807">
        <v>1623619</v>
      </c>
      <c r="D6807">
        <v>1360</v>
      </c>
    </row>
    <row r="6808" spans="1:4" x14ac:dyDescent="0.25">
      <c r="A6808" t="str">
        <f>T("   282300")</f>
        <v xml:space="preserve">   282300</v>
      </c>
      <c r="B6808" t="str">
        <f>T("   Oxydes de titane")</f>
        <v xml:space="preserve">   Oxydes de titane</v>
      </c>
      <c r="C6808">
        <v>165299296</v>
      </c>
      <c r="D6808">
        <v>68500</v>
      </c>
    </row>
    <row r="6809" spans="1:4" x14ac:dyDescent="0.25">
      <c r="A6809" t="str">
        <f>T("   282420")</f>
        <v xml:space="preserve">   282420</v>
      </c>
      <c r="B6809" t="str">
        <f>T("   Minium et mine orange")</f>
        <v xml:space="preserve">   Minium et mine orange</v>
      </c>
      <c r="C6809">
        <v>567228</v>
      </c>
      <c r="D6809">
        <v>200</v>
      </c>
    </row>
    <row r="6810" spans="1:4" x14ac:dyDescent="0.25">
      <c r="A6810" t="str">
        <f>T("   283650")</f>
        <v xml:space="preserve">   283650</v>
      </c>
      <c r="B6810" t="str">
        <f>T("   Carbonate de calcium")</f>
        <v xml:space="preserve">   Carbonate de calcium</v>
      </c>
      <c r="C6810">
        <v>54928211</v>
      </c>
      <c r="D6810">
        <v>526536</v>
      </c>
    </row>
    <row r="6811" spans="1:4" x14ac:dyDescent="0.25">
      <c r="A6811" t="str">
        <f>T("   290110")</f>
        <v xml:space="preserve">   290110</v>
      </c>
      <c r="B6811" t="str">
        <f>T("   Hydrocarbures acycliques, saturés")</f>
        <v xml:space="preserve">   Hydrocarbures acycliques, saturés</v>
      </c>
      <c r="C6811">
        <v>39897455</v>
      </c>
      <c r="D6811">
        <v>45900</v>
      </c>
    </row>
    <row r="6812" spans="1:4" x14ac:dyDescent="0.25">
      <c r="A6812" t="str">
        <f>T("   290230")</f>
        <v xml:space="preserve">   290230</v>
      </c>
      <c r="B6812" t="str">
        <f>T("   Toluène")</f>
        <v xml:space="preserve">   Toluène</v>
      </c>
      <c r="C6812">
        <v>10707891</v>
      </c>
      <c r="D6812">
        <v>14400</v>
      </c>
    </row>
    <row r="6813" spans="1:4" x14ac:dyDescent="0.25">
      <c r="A6813" t="str">
        <f>T("   290241")</f>
        <v xml:space="preserve">   290241</v>
      </c>
      <c r="B6813" t="str">
        <f>T("   o-Xylène")</f>
        <v xml:space="preserve">   o-Xylène</v>
      </c>
      <c r="C6813">
        <v>59413053</v>
      </c>
      <c r="D6813">
        <v>105400</v>
      </c>
    </row>
    <row r="6814" spans="1:4" x14ac:dyDescent="0.25">
      <c r="A6814" t="str">
        <f>T("   300220")</f>
        <v xml:space="preserve">   300220</v>
      </c>
      <c r="B6814" t="str">
        <f>T("   Vaccins pour la médecine humaine")</f>
        <v xml:space="preserve">   Vaccins pour la médecine humaine</v>
      </c>
      <c r="C6814">
        <v>178331183</v>
      </c>
      <c r="D6814">
        <v>2156</v>
      </c>
    </row>
    <row r="6815" spans="1:4" x14ac:dyDescent="0.25">
      <c r="A6815" t="str">
        <f>T("   300490")</f>
        <v xml:space="preserve">   300490</v>
      </c>
      <c r="B6815" t="s">
        <v>78</v>
      </c>
      <c r="C6815">
        <v>106893076</v>
      </c>
      <c r="D6815">
        <v>104592</v>
      </c>
    </row>
    <row r="6816" spans="1:4" x14ac:dyDescent="0.25">
      <c r="A6816" t="str">
        <f>T("   320300")</f>
        <v xml:space="preserve">   320300</v>
      </c>
      <c r="B6816" t="s">
        <v>85</v>
      </c>
      <c r="C6816">
        <v>17970680</v>
      </c>
      <c r="D6816">
        <v>25988</v>
      </c>
    </row>
    <row r="6817" spans="1:4" x14ac:dyDescent="0.25">
      <c r="A6817" t="str">
        <f>T("   320490")</f>
        <v xml:space="preserve">   320490</v>
      </c>
      <c r="B6817" t="str">
        <f>T("   Produits organiques synthétiques des types utilisés comme luminophores, même de constitution chimique définie")</f>
        <v xml:space="preserve">   Produits organiques synthétiques des types utilisés comme luminophores, même de constitution chimique définie</v>
      </c>
      <c r="C6817">
        <v>17908364</v>
      </c>
      <c r="D6817">
        <v>23200</v>
      </c>
    </row>
    <row r="6818" spans="1:4" x14ac:dyDescent="0.25">
      <c r="A6818" t="str">
        <f>T("   320820")</f>
        <v xml:space="preserve">   320820</v>
      </c>
      <c r="B6818" t="s">
        <v>95</v>
      </c>
      <c r="C6818">
        <v>18879867</v>
      </c>
      <c r="D6818">
        <v>23881</v>
      </c>
    </row>
    <row r="6819" spans="1:4" x14ac:dyDescent="0.25">
      <c r="A6819" t="str">
        <f>T("   320910")</f>
        <v xml:space="preserve">   320910</v>
      </c>
      <c r="B6819" t="str">
        <f>T("   Peintures et vernis à base de polymères acryliques ou vinyliques, dispersés ou dissous dans un milieu aqueux")</f>
        <v xml:space="preserve">   Peintures et vernis à base de polymères acryliques ou vinyliques, dispersés ou dissous dans un milieu aqueux</v>
      </c>
      <c r="C6819">
        <v>2060068</v>
      </c>
      <c r="D6819">
        <v>1350</v>
      </c>
    </row>
    <row r="6820" spans="1:4" x14ac:dyDescent="0.25">
      <c r="A6820" t="str">
        <f>T("   320990")</f>
        <v xml:space="preserve">   320990</v>
      </c>
      <c r="B6820" t="str">
        <f>T("   Peintures et vernis à base de polymères synthétiques ou de polymères naturels modifiés, dispersés ou dissous dans un milieu aqueux (à l'excl. des produits à base de polymères acryliques ou vinyliques)")</f>
        <v xml:space="preserve">   Peintures et vernis à base de polymères synthétiques ou de polymères naturels modifiés, dispersés ou dissous dans un milieu aqueux (à l'excl. des produits à base de polymères acryliques ou vinyliques)</v>
      </c>
      <c r="C6820">
        <v>2533993</v>
      </c>
      <c r="D6820">
        <v>13196</v>
      </c>
    </row>
    <row r="6821" spans="1:4" x14ac:dyDescent="0.25">
      <c r="A6821" t="str">
        <f>T("   321519")</f>
        <v xml:space="preserve">   321519</v>
      </c>
      <c r="B6821" t="str">
        <f>T("   Encres d'imprimerie, même concentrées ou sous formes solides (à l'excl. des encres noires)")</f>
        <v xml:space="preserve">   Encres d'imprimerie, même concentrées ou sous formes solides (à l'excl. des encres noires)</v>
      </c>
      <c r="C6821">
        <v>79371</v>
      </c>
      <c r="D6821">
        <v>51</v>
      </c>
    </row>
    <row r="6822" spans="1:4" x14ac:dyDescent="0.25">
      <c r="A6822" t="str">
        <f>T("   330499")</f>
        <v xml:space="preserve">   330499</v>
      </c>
      <c r="B6822" t="s">
        <v>100</v>
      </c>
      <c r="C6822">
        <v>5874227</v>
      </c>
      <c r="D6822">
        <v>24690</v>
      </c>
    </row>
    <row r="6823" spans="1:4" x14ac:dyDescent="0.25">
      <c r="A6823" t="str">
        <f>T("   340120")</f>
        <v xml:space="preserve">   340120</v>
      </c>
      <c r="B6823" t="str">
        <f>T("   Savons en flocons, en paillettes, en granulés ou en poudres et savons liquides ou pâteux")</f>
        <v xml:space="preserve">   Savons en flocons, en paillettes, en granulés ou en poudres et savons liquides ou pâteux</v>
      </c>
      <c r="C6823">
        <v>953300</v>
      </c>
      <c r="D6823">
        <v>164</v>
      </c>
    </row>
    <row r="6824" spans="1:4" x14ac:dyDescent="0.25">
      <c r="A6824" t="str">
        <f>T("   340219")</f>
        <v xml:space="preserve">   340219</v>
      </c>
      <c r="B6824" t="str">
        <f>T("   Agents de surface organiques, même conditionnés pour la vente au détail (à l'excl. des savons et des agents de surface anioniques, cationiques ou non ioniques)")</f>
        <v xml:space="preserve">   Agents de surface organiques, même conditionnés pour la vente au détail (à l'excl. des savons et des agents de surface anioniques, cationiques ou non ioniques)</v>
      </c>
      <c r="C6824">
        <v>11379575</v>
      </c>
      <c r="D6824">
        <v>11800</v>
      </c>
    </row>
    <row r="6825" spans="1:4" x14ac:dyDescent="0.25">
      <c r="A6825" t="str">
        <f>T("   340399")</f>
        <v xml:space="preserve">   340399</v>
      </c>
      <c r="B6825" t="s">
        <v>106</v>
      </c>
      <c r="C6825">
        <v>29944574</v>
      </c>
      <c r="D6825">
        <v>48325</v>
      </c>
    </row>
    <row r="6826" spans="1:4" x14ac:dyDescent="0.25">
      <c r="A6826" t="str">
        <f>T("   340600")</f>
        <v xml:space="preserve">   340600</v>
      </c>
      <c r="B6826" t="str">
        <f>T("   Bougies, chandelles, cierges et articles simil.")</f>
        <v xml:space="preserve">   Bougies, chandelles, cierges et articles simil.</v>
      </c>
      <c r="C6826">
        <v>9825152</v>
      </c>
      <c r="D6826">
        <v>36090</v>
      </c>
    </row>
    <row r="6827" spans="1:4" x14ac:dyDescent="0.25">
      <c r="A6827" t="str">
        <f>T("   350520")</f>
        <v xml:space="preserve">   350520</v>
      </c>
      <c r="B6827" t="str">
        <f>T("   Colles à base d'amidons ou de fécules, de dextrine ou d'autres amidons ou fécules modifiés (à l'excl. des produits conditionnés pour la vente au détail comme colles et d'un poids net &lt;= 1 kg)")</f>
        <v xml:space="preserve">   Colles à base d'amidons ou de fécules, de dextrine ou d'autres amidons ou fécules modifiés (à l'excl. des produits conditionnés pour la vente au détail comme colles et d'un poids net &lt;= 1 kg)</v>
      </c>
      <c r="C6827">
        <v>7490695</v>
      </c>
      <c r="D6827">
        <v>13705</v>
      </c>
    </row>
    <row r="6828" spans="1:4" x14ac:dyDescent="0.25">
      <c r="A6828" t="str">
        <f>T("   350610")</f>
        <v xml:space="preserve">   350610</v>
      </c>
      <c r="B6828" t="str">
        <f>T("   Produits de toute espèce à usage de colles ou d'adhésifs, conditionnés pour la vente au détail comme colles ou adhésifs, d'un poids net &lt;= 1 kg")</f>
        <v xml:space="preserve">   Produits de toute espèce à usage de colles ou d'adhésifs, conditionnés pour la vente au détail comme colles ou adhésifs, d'un poids net &lt;= 1 kg</v>
      </c>
      <c r="C6828">
        <v>52034381</v>
      </c>
      <c r="D6828">
        <v>107958</v>
      </c>
    </row>
    <row r="6829" spans="1:4" x14ac:dyDescent="0.25">
      <c r="A6829" t="str">
        <f>T("   350699")</f>
        <v xml:space="preserve">   350699</v>
      </c>
      <c r="B6829" t="str">
        <f>T("   Colles et autres adhésifs préparés, n.d.a.")</f>
        <v xml:space="preserve">   Colles et autres adhésifs préparés, n.d.a.</v>
      </c>
      <c r="C6829">
        <v>6892331</v>
      </c>
      <c r="D6829">
        <v>11580</v>
      </c>
    </row>
    <row r="6830" spans="1:4" x14ac:dyDescent="0.25">
      <c r="A6830" t="str">
        <f>T("   380690")</f>
        <v xml:space="preserve">   380690</v>
      </c>
      <c r="B6830" t="s">
        <v>119</v>
      </c>
      <c r="C6830">
        <v>14203784</v>
      </c>
      <c r="D6830">
        <v>7020</v>
      </c>
    </row>
    <row r="6831" spans="1:4" x14ac:dyDescent="0.25">
      <c r="A6831" t="str">
        <f>T("   380810")</f>
        <v xml:space="preserve">   380810</v>
      </c>
      <c r="B6831" t="str">
        <f>T("   Insecticides présentés dans des formes ou emballages de vente au détail ou à l'état de préparations ou sous forme d'articles")</f>
        <v xml:space="preserve">   Insecticides présentés dans des formes ou emballages de vente au détail ou à l'état de préparations ou sous forme d'articles</v>
      </c>
      <c r="C6831">
        <v>1662576</v>
      </c>
      <c r="D6831">
        <v>2073</v>
      </c>
    </row>
    <row r="6832" spans="1:4" x14ac:dyDescent="0.25">
      <c r="A6832" t="str">
        <f>T("   380820")</f>
        <v xml:space="preserve">   380820</v>
      </c>
      <c r="B6832" t="str">
        <f>T("   Fongicides présentés dans des formes ou emballages de vente au détail ou à l'état de préparations ou sous forme d'articles")</f>
        <v xml:space="preserve">   Fongicides présentés dans des formes ou emballages de vente au détail ou à l'état de préparations ou sous forme d'articles</v>
      </c>
      <c r="C6832">
        <v>3418817</v>
      </c>
      <c r="D6832">
        <v>2860</v>
      </c>
    </row>
    <row r="6833" spans="1:4" x14ac:dyDescent="0.25">
      <c r="A6833" t="str">
        <f>T("   380840")</f>
        <v xml:space="preserve">   380840</v>
      </c>
      <c r="B6833" t="str">
        <f>T("   Désinfectants et produits simil., présentés dans des formes ou emballages de vente au détail ou à l'état de préparations ou sous forme d'articles")</f>
        <v xml:space="preserve">   Désinfectants et produits simil., présentés dans des formes ou emballages de vente au détail ou à l'état de préparations ou sous forme d'articles</v>
      </c>
      <c r="C6833">
        <v>318213</v>
      </c>
      <c r="D6833">
        <v>55</v>
      </c>
    </row>
    <row r="6834" spans="1:4" x14ac:dyDescent="0.25">
      <c r="A6834" t="str">
        <f>T("   380890")</f>
        <v xml:space="preserve">   380890</v>
      </c>
      <c r="B6834" t="str">
        <f>T("   Antirongeurs et autres produits phytosanitaires, présentés dans des formes ou emballages de vente au détail ou à l'état de préparations ou sous forme d'articles (à l'excl. des insecticides, des fongicides, des herbicides et des désinfectants)")</f>
        <v xml:space="preserve">   Antirongeurs et autres produits phytosanitaires, présentés dans des formes ou emballages de vente au détail ou à l'état de préparations ou sous forme d'articles (à l'excl. des insecticides, des fongicides, des herbicides et des désinfectants)</v>
      </c>
      <c r="C6834">
        <v>4624649</v>
      </c>
      <c r="D6834">
        <v>4065</v>
      </c>
    </row>
    <row r="6835" spans="1:4" x14ac:dyDescent="0.25">
      <c r="A6835" t="str">
        <f>T("   381400")</f>
        <v xml:space="preserve">   381400</v>
      </c>
      <c r="B6835" t="str">
        <f>T("   Solvants et diluants organiques composites, n.d.a.; préparations conçues pour enlever les peintures ou les vernis (à l'excl. des dissolvants pour vernis à ongles)")</f>
        <v xml:space="preserve">   Solvants et diluants organiques composites, n.d.a.; préparations conçues pour enlever les peintures ou les vernis (à l'excl. des dissolvants pour vernis à ongles)</v>
      </c>
      <c r="C6835">
        <v>3656892</v>
      </c>
      <c r="D6835">
        <v>15748</v>
      </c>
    </row>
    <row r="6836" spans="1:4" x14ac:dyDescent="0.25">
      <c r="A6836" t="str">
        <f>T("   382200")</f>
        <v xml:space="preserve">   382200</v>
      </c>
      <c r="B6836" t="s">
        <v>125</v>
      </c>
      <c r="C6836">
        <v>1228160</v>
      </c>
      <c r="D6836">
        <v>30.5</v>
      </c>
    </row>
    <row r="6837" spans="1:4" x14ac:dyDescent="0.25">
      <c r="A6837" t="str">
        <f>T("   382420")</f>
        <v xml:space="preserve">   382420</v>
      </c>
      <c r="B6837" t="str">
        <f>T("   Acides naphténiques, leurs sels insolubles dans l'eau et leurs esters")</f>
        <v xml:space="preserve">   Acides naphténiques, leurs sels insolubles dans l'eau et leurs esters</v>
      </c>
      <c r="C6837">
        <v>2731444</v>
      </c>
      <c r="D6837">
        <v>2724</v>
      </c>
    </row>
    <row r="6838" spans="1:4" x14ac:dyDescent="0.25">
      <c r="A6838" t="str">
        <f>T("   382440")</f>
        <v xml:space="preserve">   382440</v>
      </c>
      <c r="B6838" t="str">
        <f>T("   Additifs préparés pour ciments, mortiers ou bétons")</f>
        <v xml:space="preserve">   Additifs préparés pour ciments, mortiers ou bétons</v>
      </c>
      <c r="C6838">
        <v>145352209</v>
      </c>
      <c r="D6838">
        <v>229440</v>
      </c>
    </row>
    <row r="6839" spans="1:4" x14ac:dyDescent="0.25">
      <c r="A6839" t="str">
        <f>T("   390190")</f>
        <v xml:space="preserve">   390190</v>
      </c>
      <c r="B6839" t="str">
        <f>T("   Polymères de l'éthylène, sous formes primaires (à l'excl. du polyéthylène ainsi que des copolymères d'éthylène et d'acétate de vinyle)")</f>
        <v xml:space="preserve">   Polymères de l'éthylène, sous formes primaires (à l'excl. du polyéthylène ainsi que des copolymères d'éthylène et d'acétate de vinyle)</v>
      </c>
      <c r="C6839">
        <v>44043778</v>
      </c>
      <c r="D6839">
        <v>102220</v>
      </c>
    </row>
    <row r="6840" spans="1:4" x14ac:dyDescent="0.25">
      <c r="A6840" t="str">
        <f>T("   390320")</f>
        <v xml:space="preserve">   390320</v>
      </c>
      <c r="B6840" t="str">
        <f>T("   Copolymères de styrène-acrylonitrile [SAN], sous formes primaires")</f>
        <v xml:space="preserve">   Copolymères de styrène-acrylonitrile [SAN], sous formes primaires</v>
      </c>
      <c r="C6840">
        <v>20176320</v>
      </c>
      <c r="D6840">
        <v>24720</v>
      </c>
    </row>
    <row r="6841" spans="1:4" x14ac:dyDescent="0.25">
      <c r="A6841" t="str">
        <f>T("   390512")</f>
        <v xml:space="preserve">   390512</v>
      </c>
      <c r="B6841" t="str">
        <f>T("   Poly[acétate de vinyle], en dispersion aqueuse")</f>
        <v xml:space="preserve">   Poly[acétate de vinyle], en dispersion aqueuse</v>
      </c>
      <c r="C6841">
        <v>23761541</v>
      </c>
      <c r="D6841">
        <v>32300</v>
      </c>
    </row>
    <row r="6842" spans="1:4" x14ac:dyDescent="0.25">
      <c r="A6842" t="str">
        <f>T("   390521")</f>
        <v xml:space="preserve">   390521</v>
      </c>
      <c r="B6842" t="str">
        <f>T("   Copolymères d'acétate de vinyle, en dispersion aqueuse")</f>
        <v xml:space="preserve">   Copolymères d'acétate de vinyle, en dispersion aqueuse</v>
      </c>
      <c r="C6842">
        <v>30535757</v>
      </c>
      <c r="D6842">
        <v>39400</v>
      </c>
    </row>
    <row r="6843" spans="1:4" x14ac:dyDescent="0.25">
      <c r="A6843" t="str">
        <f>T("   390529")</f>
        <v xml:space="preserve">   390529</v>
      </c>
      <c r="B6843" t="str">
        <f>T("   Copolymères d'acétate de vinyle, sous formes primaires (à l'excl. des produits en dispersion aqueuse)")</f>
        <v xml:space="preserve">   Copolymères d'acétate de vinyle, sous formes primaires (à l'excl. des produits en dispersion aqueuse)</v>
      </c>
      <c r="C6843">
        <v>35387074</v>
      </c>
      <c r="D6843">
        <v>44000</v>
      </c>
    </row>
    <row r="6844" spans="1:4" x14ac:dyDescent="0.25">
      <c r="A6844" t="str">
        <f>T("   390690")</f>
        <v xml:space="preserve">   390690</v>
      </c>
      <c r="B6844" t="str">
        <f>T("   Polymères acryliques, sous formes primaires (à l'excl. du poly[méthacrylate de méthyle])")</f>
        <v xml:space="preserve">   Polymères acryliques, sous formes primaires (à l'excl. du poly[méthacrylate de méthyle])</v>
      </c>
      <c r="C6844">
        <v>49818719</v>
      </c>
      <c r="D6844">
        <v>47755</v>
      </c>
    </row>
    <row r="6845" spans="1:4" x14ac:dyDescent="0.25">
      <c r="A6845" t="str">
        <f>T("   390720")</f>
        <v xml:space="preserve">   390720</v>
      </c>
      <c r="B6845" t="str">
        <f>T("   Polyéthers, sous formes primaires (à l'excl. des polyacétals)")</f>
        <v xml:space="preserve">   Polyéthers, sous formes primaires (à l'excl. des polyacétals)</v>
      </c>
      <c r="C6845">
        <v>453432</v>
      </c>
      <c r="D6845">
        <v>360</v>
      </c>
    </row>
    <row r="6846" spans="1:4" x14ac:dyDescent="0.25">
      <c r="A6846" t="str">
        <f>T("   390750")</f>
        <v xml:space="preserve">   390750</v>
      </c>
      <c r="B6846" t="str">
        <f>T("   Résines alkydes, sous formes primaires")</f>
        <v xml:space="preserve">   Résines alkydes, sous formes primaires</v>
      </c>
      <c r="C6846">
        <v>1434939</v>
      </c>
      <c r="D6846">
        <v>720</v>
      </c>
    </row>
    <row r="6847" spans="1:4" x14ac:dyDescent="0.25">
      <c r="A6847" t="str">
        <f>T("   390799")</f>
        <v xml:space="preserve">   390799</v>
      </c>
      <c r="B6847" t="str">
        <f>T("   POLYESTERS, SATURÉS, SOUS FORMES PRIMAIRES (À L'EXCL. DES POLYCARBONATES, DES RÉSINES ALKYDES ET DU POLY[ÉTHYLÈNE TÉRÉPHTALATE]) [01/01/1988-31/12/1993: POLYESTERS ALLYLIQUES ET AUTRES POLYESTERS, SATURÉS, SOUS FORMES PRIMAIRES]")</f>
        <v xml:space="preserve">   POLYESTERS, SATURÉS, SOUS FORMES PRIMAIRES (À L'EXCL. DES POLYCARBONATES, DES RÉSINES ALKYDES ET DU POLY[ÉTHYLÈNE TÉRÉPHTALATE]) [01/01/1988-31/12/1993: POLYESTERS ALLYLIQUES ET AUTRES POLYESTERS, SATURÉS, SOUS FORMES PRIMAIRES]</v>
      </c>
      <c r="C6847">
        <v>411943</v>
      </c>
      <c r="D6847">
        <v>100</v>
      </c>
    </row>
    <row r="6848" spans="1:4" x14ac:dyDescent="0.25">
      <c r="A6848" t="str">
        <f>T("   391220")</f>
        <v xml:space="preserve">   391220</v>
      </c>
      <c r="B6848" t="str">
        <f>T("   Nitrates de cellulose, y.c. les collodions, sous formes primaires")</f>
        <v xml:space="preserve">   Nitrates de cellulose, y.c. les collodions, sous formes primaires</v>
      </c>
      <c r="C6848">
        <v>3973708</v>
      </c>
      <c r="D6848">
        <v>2160</v>
      </c>
    </row>
    <row r="6849" spans="1:4" x14ac:dyDescent="0.25">
      <c r="A6849" t="str">
        <f>T("   391231")</f>
        <v xml:space="preserve">   391231</v>
      </c>
      <c r="B6849" t="str">
        <f>T("   Carboxyméthylcellulose et ses sels, sous formes primaires")</f>
        <v xml:space="preserve">   Carboxyméthylcellulose et ses sels, sous formes primaires</v>
      </c>
      <c r="C6849">
        <v>3667964</v>
      </c>
      <c r="D6849">
        <v>1000</v>
      </c>
    </row>
    <row r="6850" spans="1:4" x14ac:dyDescent="0.25">
      <c r="A6850" t="str">
        <f>T("   391239")</f>
        <v xml:space="preserve">   391239</v>
      </c>
      <c r="B6850" t="str">
        <f>T("   ÉTHERS DE CELLULOSE, SOUS FORMES PRIMAIRES (À L'EXCL. DE LA CARBOXYMÉTHYLCELLULOSE ET DE SES SELS)")</f>
        <v xml:space="preserve">   ÉTHERS DE CELLULOSE, SOUS FORMES PRIMAIRES (À L'EXCL. DE LA CARBOXYMÉTHYLCELLULOSE ET DE SES SELS)</v>
      </c>
      <c r="C6850">
        <v>25359736</v>
      </c>
      <c r="D6850">
        <v>6345</v>
      </c>
    </row>
    <row r="6851" spans="1:4" x14ac:dyDescent="0.25">
      <c r="A6851" t="str">
        <f>T("   391723")</f>
        <v xml:space="preserve">   391723</v>
      </c>
      <c r="B6851" t="str">
        <f>T("   TUBES ET TUYAUX RIGIDES, EN POLYMÈRES DU CHLORURE DE VINYLE")</f>
        <v xml:space="preserve">   TUBES ET TUYAUX RIGIDES, EN POLYMÈRES DU CHLORURE DE VINYLE</v>
      </c>
      <c r="C6851">
        <v>350938</v>
      </c>
      <c r="D6851">
        <v>3618</v>
      </c>
    </row>
    <row r="6852" spans="1:4" x14ac:dyDescent="0.25">
      <c r="A6852" t="str">
        <f>T("   391990")</f>
        <v xml:space="preserve">   391990</v>
      </c>
      <c r="B6852" t="s">
        <v>130</v>
      </c>
      <c r="C6852">
        <v>1470006</v>
      </c>
      <c r="D6852">
        <v>400</v>
      </c>
    </row>
    <row r="6853" spans="1:4" x14ac:dyDescent="0.25">
      <c r="A6853" t="str">
        <f>T("   392210")</f>
        <v xml:space="preserve">   392210</v>
      </c>
      <c r="B6853" t="str">
        <f>T("   Baignoires, douches, éviers et lavabos, en matières plastiques")</f>
        <v xml:space="preserve">   Baignoires, douches, éviers et lavabos, en matières plastiques</v>
      </c>
      <c r="C6853">
        <v>547897</v>
      </c>
      <c r="D6853">
        <v>2000</v>
      </c>
    </row>
    <row r="6854" spans="1:4" x14ac:dyDescent="0.25">
      <c r="A6854" t="str">
        <f>T("   392310")</f>
        <v xml:space="preserve">   392310</v>
      </c>
      <c r="B6854" t="str">
        <f>T("   Boîtes, caisses, casiers et articles simil. pour le transport ou l'emballage, en matières plastiques")</f>
        <v xml:space="preserve">   Boîtes, caisses, casiers et articles simil. pour le transport ou l'emballage, en matières plastiques</v>
      </c>
      <c r="C6854">
        <v>57506564</v>
      </c>
      <c r="D6854">
        <v>43468</v>
      </c>
    </row>
    <row r="6855" spans="1:4" x14ac:dyDescent="0.25">
      <c r="A6855" t="str">
        <f>T("   392330")</f>
        <v xml:space="preserve">   392330</v>
      </c>
      <c r="B6855" t="str">
        <f>T("   Bonbonnes, bouteilles, flacons et articles simil. pour le transport ou l'emballage, en matières plastiques")</f>
        <v xml:space="preserve">   Bonbonnes, bouteilles, flacons et articles simil. pour le transport ou l'emballage, en matières plastiques</v>
      </c>
      <c r="C6855">
        <v>36505485</v>
      </c>
      <c r="D6855">
        <v>16781</v>
      </c>
    </row>
    <row r="6856" spans="1:4" x14ac:dyDescent="0.25">
      <c r="A6856" t="str">
        <f>T("   392350")</f>
        <v xml:space="preserve">   392350</v>
      </c>
      <c r="B6856" t="str">
        <f>T("   Bouchons, couvercles, capsules et autres dispositifs de fermeture, en matières plastiques")</f>
        <v xml:space="preserve">   Bouchons, couvercles, capsules et autres dispositifs de fermeture, en matières plastiques</v>
      </c>
      <c r="C6856">
        <v>3676000</v>
      </c>
      <c r="D6856">
        <v>1665</v>
      </c>
    </row>
    <row r="6857" spans="1:4" x14ac:dyDescent="0.25">
      <c r="A6857" t="str">
        <f>T("   392410")</f>
        <v xml:space="preserve">   392410</v>
      </c>
      <c r="B6857" t="str">
        <f>T("   Vaisselle et autres articles pour le service de la table ou de la cuisine, en matières plastiques")</f>
        <v xml:space="preserve">   Vaisselle et autres articles pour le service de la table ou de la cuisine, en matières plastiques</v>
      </c>
      <c r="C6857">
        <v>12545274</v>
      </c>
      <c r="D6857">
        <v>18004</v>
      </c>
    </row>
    <row r="6858" spans="1:4" x14ac:dyDescent="0.25">
      <c r="A6858" t="str">
        <f>T("   392490")</f>
        <v xml:space="preserve">   392490</v>
      </c>
      <c r="B6858" t="s">
        <v>145</v>
      </c>
      <c r="C6858">
        <v>57500812</v>
      </c>
      <c r="D6858">
        <v>46579</v>
      </c>
    </row>
    <row r="6859" spans="1:4" x14ac:dyDescent="0.25">
      <c r="A6859" t="str">
        <f>T("   392610")</f>
        <v xml:space="preserve">   392610</v>
      </c>
      <c r="B6859" t="str">
        <f>T("   Articles de bureau et articles scolaires, en matières plastiques, n.d.a.")</f>
        <v xml:space="preserve">   Articles de bureau et articles scolaires, en matières plastiques, n.d.a.</v>
      </c>
      <c r="C6859">
        <v>320568</v>
      </c>
      <c r="D6859">
        <v>2380</v>
      </c>
    </row>
    <row r="6860" spans="1:4" x14ac:dyDescent="0.25">
      <c r="A6860" t="str">
        <f>T("   392640")</f>
        <v xml:space="preserve">   392640</v>
      </c>
      <c r="B6860" t="str">
        <f>T("   Statuettes et autres objets d'ornementation, en matières plastiques")</f>
        <v xml:space="preserve">   Statuettes et autres objets d'ornementation, en matières plastiques</v>
      </c>
      <c r="C6860">
        <v>39718</v>
      </c>
      <c r="D6860">
        <v>80</v>
      </c>
    </row>
    <row r="6861" spans="1:4" x14ac:dyDescent="0.25">
      <c r="A6861" t="str">
        <f>T("   392690")</f>
        <v xml:space="preserve">   392690</v>
      </c>
      <c r="B6861" t="str">
        <f>T("   Ouvrages en matières plastiques et ouvrages en autres matières du n° 3901 à 3914, n.d.a.")</f>
        <v xml:space="preserve">   Ouvrages en matières plastiques et ouvrages en autres matières du n° 3901 à 3914, n.d.a.</v>
      </c>
      <c r="C6861">
        <v>21517350</v>
      </c>
      <c r="D6861">
        <v>19092</v>
      </c>
    </row>
    <row r="6862" spans="1:4" x14ac:dyDescent="0.25">
      <c r="A6862" t="str">
        <f>T("   401019")</f>
        <v xml:space="preserve">   401019</v>
      </c>
      <c r="B6862" t="str">
        <f>T("   Courroies transporteuses, en caoutchouc vulcanisé (à l'excl. des produits renforcés seulement de métal, de matières textiles ou de matières plastiques)")</f>
        <v xml:space="preserve">   Courroies transporteuses, en caoutchouc vulcanisé (à l'excl. des produits renforcés seulement de métal, de matières textiles ou de matières plastiques)</v>
      </c>
      <c r="C6862">
        <v>1498869</v>
      </c>
      <c r="D6862">
        <v>279</v>
      </c>
    </row>
    <row r="6863" spans="1:4" x14ac:dyDescent="0.25">
      <c r="A6863" t="str">
        <f>T("   401039")</f>
        <v xml:space="preserve">   401039</v>
      </c>
      <c r="B6863" t="s">
        <v>154</v>
      </c>
      <c r="C6863">
        <v>223650</v>
      </c>
      <c r="D6863">
        <v>1</v>
      </c>
    </row>
    <row r="6864" spans="1:4" x14ac:dyDescent="0.25">
      <c r="A6864" t="str">
        <f>T("   401199")</f>
        <v xml:space="preserve">   401199</v>
      </c>
      <c r="B6864" t="s">
        <v>155</v>
      </c>
      <c r="C6864">
        <v>82225</v>
      </c>
      <c r="D6864">
        <v>1</v>
      </c>
    </row>
    <row r="6865" spans="1:4" x14ac:dyDescent="0.25">
      <c r="A6865" t="str">
        <f>T("   401211")</f>
        <v xml:space="preserve">   401211</v>
      </c>
      <c r="B6865" t="str">
        <f>T("   Pneumatiques rechapés, en caoutchouc, des types utilisés pour les voitures de tourisme, y.c. les voitures du type 'break' et les voitures de course")</f>
        <v xml:space="preserve">   Pneumatiques rechapés, en caoutchouc, des types utilisés pour les voitures de tourisme, y.c. les voitures du type 'break' et les voitures de course</v>
      </c>
      <c r="C6865">
        <v>9320000</v>
      </c>
      <c r="D6865">
        <v>22073</v>
      </c>
    </row>
    <row r="6866" spans="1:4" x14ac:dyDescent="0.25">
      <c r="A6866" t="str">
        <f>T("   401220")</f>
        <v xml:space="preserve">   401220</v>
      </c>
      <c r="B6866" t="str">
        <f>T("   Pneumatiques usagés, en caoutchouc")</f>
        <v xml:space="preserve">   Pneumatiques usagés, en caoutchouc</v>
      </c>
      <c r="C6866">
        <v>35479669</v>
      </c>
      <c r="D6866">
        <v>56623</v>
      </c>
    </row>
    <row r="6867" spans="1:4" x14ac:dyDescent="0.25">
      <c r="A6867" t="str">
        <f>T("   401290")</f>
        <v xml:space="preserve">   401290</v>
      </c>
      <c r="B6867" t="str">
        <f>T("   Bandages pleins ou creux [mi-pleins], bandes de roulement amovibles pour pneumatiques et flaps, en caoutchouc")</f>
        <v xml:space="preserve">   Bandages pleins ou creux [mi-pleins], bandes de roulement amovibles pour pneumatiques et flaps, en caoutchouc</v>
      </c>
      <c r="C6867">
        <v>75000</v>
      </c>
      <c r="D6867">
        <v>1000</v>
      </c>
    </row>
    <row r="6868" spans="1:4" x14ac:dyDescent="0.25">
      <c r="A6868" t="str">
        <f>T("   401390")</f>
        <v xml:space="preserve">   401390</v>
      </c>
      <c r="B6868" t="str">
        <f>T("   Chambres à air, en caoutchouc (à l'excl. des chambres à air des types utilisés pour les voitures de tourisme, les voitures du type 'break', les voitures de course, les autobus, les camions et les bicyclettes)")</f>
        <v xml:space="preserve">   Chambres à air, en caoutchouc (à l'excl. des chambres à air des types utilisés pour les voitures de tourisme, les voitures du type 'break', les voitures de course, les autobus, les camions et les bicyclettes)</v>
      </c>
      <c r="C6868">
        <v>650824</v>
      </c>
      <c r="D6868">
        <v>2900</v>
      </c>
    </row>
    <row r="6869" spans="1:4" x14ac:dyDescent="0.25">
      <c r="A6869" t="str">
        <f>T("   401490")</f>
        <v xml:space="preserve">   401490</v>
      </c>
      <c r="B6869" t="str">
        <f>T("   ARTICLES D'HYGIÈNE OU DE PHARMACIE, Y.C. LES TÉTINES, EN CAOUTCHOUC VULCANISÉ NON-DURCI, MÊME AVEC PARTIES EN CAOUTCHOUC DURCI, N.D.A. (À L'EXCL. DES PRÉSERVATIFS AINSI QUE DES VÊTEMENTS ET ACCESSOIRES DU VÊTEMENT, Y.C. LES GANTS, POUR TOUS USAGES)")</f>
        <v xml:space="preserve">   ARTICLES D'HYGIÈNE OU DE PHARMACIE, Y.C. LES TÉTINES, EN CAOUTCHOUC VULCANISÉ NON-DURCI, MÊME AVEC PARTIES EN CAOUTCHOUC DURCI, N.D.A. (À L'EXCL. DES PRÉSERVATIFS AINSI QUE DES VÊTEMENTS ET ACCESSOIRES DU VÊTEMENT, Y.C. LES GANTS, POUR TOUS USAGES)</v>
      </c>
      <c r="C6869">
        <v>518602</v>
      </c>
      <c r="D6869">
        <v>544</v>
      </c>
    </row>
    <row r="6870" spans="1:4" x14ac:dyDescent="0.25">
      <c r="A6870" t="str">
        <f>T("   401511")</f>
        <v xml:space="preserve">   401511</v>
      </c>
      <c r="B6870" t="str">
        <f>T("   Gants en caoutchouc vulcanisé non durci, pour la chirurgie")</f>
        <v xml:space="preserve">   Gants en caoutchouc vulcanisé non durci, pour la chirurgie</v>
      </c>
      <c r="C6870">
        <v>754355</v>
      </c>
      <c r="D6870">
        <v>300</v>
      </c>
    </row>
    <row r="6871" spans="1:4" x14ac:dyDescent="0.25">
      <c r="A6871" t="str">
        <f>T("   401693")</f>
        <v xml:space="preserve">   401693</v>
      </c>
      <c r="B6871" t="str">
        <f>T("   Joints en caoutchouc vulcanisé non durci (à l'excl. des articles en caoutchouc alvéolaire)")</f>
        <v xml:space="preserve">   Joints en caoutchouc vulcanisé non durci (à l'excl. des articles en caoutchouc alvéolaire)</v>
      </c>
      <c r="C6871">
        <v>287066</v>
      </c>
      <c r="D6871">
        <v>1</v>
      </c>
    </row>
    <row r="6872" spans="1:4" x14ac:dyDescent="0.25">
      <c r="A6872" t="str">
        <f>T("   401699")</f>
        <v xml:space="preserve">   401699</v>
      </c>
      <c r="B6872" t="str">
        <f>T("   OUVRAGES EN CAOUTCHOUC VULCANISÉ NON-DURCI, N.D.A.")</f>
        <v xml:space="preserve">   OUVRAGES EN CAOUTCHOUC VULCANISÉ NON-DURCI, N.D.A.</v>
      </c>
      <c r="C6872">
        <v>407351</v>
      </c>
      <c r="D6872">
        <v>200</v>
      </c>
    </row>
    <row r="6873" spans="1:4" x14ac:dyDescent="0.25">
      <c r="A6873" t="str">
        <f>T("   420229")</f>
        <v xml:space="preserve">   420229</v>
      </c>
      <c r="B6873" t="str">
        <f>T("   Sacs à main, même à bandoulière, y.c. ceux sans poignée, à surface extérieure en fibre vulcanisée ou en carton, ou recouverts, en totalité ou en majeure partie, de ces mêmes matières ou de papier")</f>
        <v xml:space="preserve">   Sacs à main, même à bandoulière, y.c. ceux sans poignée, à surface extérieure en fibre vulcanisée ou en carton, ou recouverts, en totalité ou en majeure partie, de ces mêmes matières ou de papier</v>
      </c>
      <c r="C6873">
        <v>380000</v>
      </c>
      <c r="D6873">
        <v>150</v>
      </c>
    </row>
    <row r="6874" spans="1:4" x14ac:dyDescent="0.25">
      <c r="A6874" t="str">
        <f>T("   420239")</f>
        <v xml:space="preserve">   420239</v>
      </c>
      <c r="B6874" t="s">
        <v>162</v>
      </c>
      <c r="C6874">
        <v>634770</v>
      </c>
      <c r="D6874">
        <v>390</v>
      </c>
    </row>
    <row r="6875" spans="1:4" x14ac:dyDescent="0.25">
      <c r="A6875" t="str">
        <f>T("   420299")</f>
        <v xml:space="preserve">   420299</v>
      </c>
      <c r="B6875" t="s">
        <v>164</v>
      </c>
      <c r="C6875">
        <v>572834</v>
      </c>
      <c r="D6875">
        <v>444</v>
      </c>
    </row>
    <row r="6876" spans="1:4" x14ac:dyDescent="0.25">
      <c r="A6876" t="str">
        <f>T("   420330")</f>
        <v xml:space="preserve">   420330</v>
      </c>
      <c r="B6876" t="str">
        <f>T("   Ceintures, ceinturons et baudriers, en cuir naturel ou reconstitué")</f>
        <v xml:space="preserve">   Ceintures, ceinturons et baudriers, en cuir naturel ou reconstitué</v>
      </c>
      <c r="C6876">
        <v>114793</v>
      </c>
      <c r="D6876">
        <v>3</v>
      </c>
    </row>
    <row r="6877" spans="1:4" x14ac:dyDescent="0.25">
      <c r="A6877" t="str">
        <f>T("   441199")</f>
        <v xml:space="preserve">   441199</v>
      </c>
      <c r="B6877" t="s">
        <v>174</v>
      </c>
      <c r="C6877">
        <v>9224654</v>
      </c>
      <c r="D6877">
        <v>9919</v>
      </c>
    </row>
    <row r="6878" spans="1:4" x14ac:dyDescent="0.25">
      <c r="A6878" t="str">
        <f>T("   441219")</f>
        <v xml:space="preserve">   441219</v>
      </c>
      <c r="B6878" t="s">
        <v>177</v>
      </c>
      <c r="C6878">
        <v>98394</v>
      </c>
      <c r="D6878">
        <v>1000</v>
      </c>
    </row>
    <row r="6879" spans="1:4" x14ac:dyDescent="0.25">
      <c r="A6879" t="str">
        <f>T("   441700")</f>
        <v xml:space="preserve">   441700</v>
      </c>
      <c r="B6879" t="s">
        <v>181</v>
      </c>
      <c r="C6879">
        <v>1176793</v>
      </c>
      <c r="D6879">
        <v>3100</v>
      </c>
    </row>
    <row r="6880" spans="1:4" x14ac:dyDescent="0.25">
      <c r="A6880" t="str">
        <f>T("   441820")</f>
        <v xml:space="preserve">   441820</v>
      </c>
      <c r="B6880" t="str">
        <f>T("   Portes et leurs cadres, chambranles et seuils, en bois")</f>
        <v xml:space="preserve">   Portes et leurs cadres, chambranles et seuils, en bois</v>
      </c>
      <c r="C6880">
        <v>9756077</v>
      </c>
      <c r="D6880">
        <v>24766</v>
      </c>
    </row>
    <row r="6881" spans="1:4" x14ac:dyDescent="0.25">
      <c r="A6881" t="str">
        <f>T("   441830")</f>
        <v xml:space="preserve">   441830</v>
      </c>
      <c r="B6881" t="str">
        <f>T("   PANNEAUX POUR PARQUETS, EN BOIS (À L'EXCL. DES LAMES ET FRISES POUR PARQUETS, NON-ASSEMBLÉES)")</f>
        <v xml:space="preserve">   PANNEAUX POUR PARQUETS, EN BOIS (À L'EXCL. DES LAMES ET FRISES POUR PARQUETS, NON-ASSEMBLÉES)</v>
      </c>
      <c r="C6881">
        <v>820298</v>
      </c>
      <c r="D6881">
        <v>290</v>
      </c>
    </row>
    <row r="6882" spans="1:4" x14ac:dyDescent="0.25">
      <c r="A6882" t="str">
        <f>T("   441890")</f>
        <v xml:space="preserve">   441890</v>
      </c>
      <c r="B6882" t="s">
        <v>182</v>
      </c>
      <c r="C6882">
        <v>2552539</v>
      </c>
      <c r="D6882">
        <v>92</v>
      </c>
    </row>
    <row r="6883" spans="1:4" x14ac:dyDescent="0.25">
      <c r="A6883" t="str">
        <f>T("   442090")</f>
        <v xml:space="preserve">   442090</v>
      </c>
      <c r="B6883" t="s">
        <v>184</v>
      </c>
      <c r="C6883">
        <v>104954</v>
      </c>
      <c r="D6883">
        <v>180</v>
      </c>
    </row>
    <row r="6884" spans="1:4" x14ac:dyDescent="0.25">
      <c r="A6884" t="str">
        <f>T("   480257")</f>
        <v xml:space="preserve">   480257</v>
      </c>
      <c r="B6884" t="s">
        <v>191</v>
      </c>
      <c r="C6884">
        <v>4498383</v>
      </c>
      <c r="D6884">
        <v>6518</v>
      </c>
    </row>
    <row r="6885" spans="1:4" x14ac:dyDescent="0.25">
      <c r="A6885" t="str">
        <f>T("   480258")</f>
        <v xml:space="preserve">   480258</v>
      </c>
      <c r="B6885" t="s">
        <v>192</v>
      </c>
      <c r="C6885">
        <v>6178527</v>
      </c>
      <c r="D6885">
        <v>9247</v>
      </c>
    </row>
    <row r="6886" spans="1:4" x14ac:dyDescent="0.25">
      <c r="A6886" t="str">
        <f>T("   480300")</f>
        <v xml:space="preserve">   480300</v>
      </c>
      <c r="B6886" t="s">
        <v>194</v>
      </c>
      <c r="C6886">
        <v>20669392</v>
      </c>
      <c r="D6886">
        <v>18852</v>
      </c>
    </row>
    <row r="6887" spans="1:4" x14ac:dyDescent="0.25">
      <c r="A6887" t="str">
        <f>T("   481710")</f>
        <v xml:space="preserve">   481710</v>
      </c>
      <c r="B6887" t="str">
        <f>T("   Enveloppes, en papier ou en carton")</f>
        <v xml:space="preserve">   Enveloppes, en papier ou en carton</v>
      </c>
      <c r="C6887">
        <v>143229</v>
      </c>
      <c r="D6887">
        <v>250</v>
      </c>
    </row>
    <row r="6888" spans="1:4" x14ac:dyDescent="0.25">
      <c r="A6888" t="str">
        <f>T("   481810")</f>
        <v xml:space="preserve">   481810</v>
      </c>
      <c r="B6888" t="str">
        <f>T("   Papier hygiénique, en rouleaux d'une largeur &lt;= 36 cm")</f>
        <v xml:space="preserve">   Papier hygiénique, en rouleaux d'une largeur &lt;= 36 cm</v>
      </c>
      <c r="C6888">
        <v>49631126</v>
      </c>
      <c r="D6888">
        <v>71303</v>
      </c>
    </row>
    <row r="6889" spans="1:4" x14ac:dyDescent="0.25">
      <c r="A6889" t="str">
        <f>T("   481890")</f>
        <v xml:space="preserve">   481890</v>
      </c>
      <c r="B6889" t="s">
        <v>215</v>
      </c>
      <c r="C6889">
        <v>201550</v>
      </c>
      <c r="D6889">
        <v>35</v>
      </c>
    </row>
    <row r="6890" spans="1:4" x14ac:dyDescent="0.25">
      <c r="A6890" t="str">
        <f>T("   481920")</f>
        <v xml:space="preserve">   481920</v>
      </c>
      <c r="B6890" t="str">
        <f>T("   Boîtes et cartonnages, pliants, en papier ou en carton non ondulé")</f>
        <v xml:space="preserve">   Boîtes et cartonnages, pliants, en papier ou en carton non ondulé</v>
      </c>
      <c r="C6890">
        <v>135128</v>
      </c>
      <c r="D6890">
        <v>231</v>
      </c>
    </row>
    <row r="6891" spans="1:4" x14ac:dyDescent="0.25">
      <c r="A6891" t="str">
        <f>T("   481940")</f>
        <v xml:space="preserve">   481940</v>
      </c>
      <c r="B6891" t="str">
        <f>T("   Sacs, sachets, pochettes et cornets, en papier, carton, ouate de cellulose ou nappes de fibres de cellulose (à l'excl. des pochettes pour disques et des sacs d'une largeur à la base &gt;= 40 cm)")</f>
        <v xml:space="preserve">   Sacs, sachets, pochettes et cornets, en papier, carton, ouate de cellulose ou nappes de fibres de cellulose (à l'excl. des pochettes pour disques et des sacs d'une largeur à la base &gt;= 40 cm)</v>
      </c>
      <c r="C6891">
        <v>198451</v>
      </c>
      <c r="D6891">
        <v>20</v>
      </c>
    </row>
    <row r="6892" spans="1:4" x14ac:dyDescent="0.25">
      <c r="A6892" t="str">
        <f>T("   481950")</f>
        <v xml:space="preserve">   481950</v>
      </c>
      <c r="B6892" t="s">
        <v>216</v>
      </c>
      <c r="C6892">
        <v>2760280</v>
      </c>
      <c r="D6892">
        <v>5488</v>
      </c>
    </row>
    <row r="6893" spans="1:4" x14ac:dyDescent="0.25">
      <c r="A6893" t="str">
        <f>T("   482090")</f>
        <v xml:space="preserve">   482090</v>
      </c>
      <c r="B6893" t="s">
        <v>217</v>
      </c>
      <c r="C6893">
        <v>244070</v>
      </c>
      <c r="D6893">
        <v>1285</v>
      </c>
    </row>
    <row r="6894" spans="1:4" x14ac:dyDescent="0.25">
      <c r="A6894" t="str">
        <f>T("   490110")</f>
        <v xml:space="preserve">   490110</v>
      </c>
      <c r="B6894" t="str">
        <f>T("   Livres, brochures et imprimés simil., en feuillets isolés, même pliés (à l'excl. des publications périodiques et des publications à usages principalement publicitaires)")</f>
        <v xml:space="preserve">   Livres, brochures et imprimés simil., en feuillets isolés, même pliés (à l'excl. des publications périodiques et des publications à usages principalement publicitaires)</v>
      </c>
      <c r="C6894">
        <v>953766</v>
      </c>
      <c r="D6894">
        <v>1200</v>
      </c>
    </row>
    <row r="6895" spans="1:4" x14ac:dyDescent="0.25">
      <c r="A6895" t="str">
        <f>T("   490199")</f>
        <v xml:space="preserve">   490199</v>
      </c>
      <c r="B6895"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6895">
        <v>34678582</v>
      </c>
      <c r="D6895">
        <v>31311</v>
      </c>
    </row>
    <row r="6896" spans="1:4" x14ac:dyDescent="0.25">
      <c r="A6896" t="str">
        <f>T("   491110")</f>
        <v xml:space="preserve">   491110</v>
      </c>
      <c r="B6896" t="str">
        <f>T("   Imprimés publicitaires, catalogues commerciaux et simil.")</f>
        <v xml:space="preserve">   Imprimés publicitaires, catalogues commerciaux et simil.</v>
      </c>
      <c r="C6896">
        <v>38951</v>
      </c>
      <c r="D6896">
        <v>56</v>
      </c>
    </row>
    <row r="6897" spans="1:4" x14ac:dyDescent="0.25">
      <c r="A6897" t="str">
        <f>T("   491191")</f>
        <v xml:space="preserve">   491191</v>
      </c>
      <c r="B6897" t="str">
        <f>T("   Images, gravures et photographies, n.d.a.")</f>
        <v xml:space="preserve">   Images, gravures et photographies, n.d.a.</v>
      </c>
      <c r="C6897">
        <v>525555</v>
      </c>
      <c r="D6897">
        <v>1000</v>
      </c>
    </row>
    <row r="6898" spans="1:4" x14ac:dyDescent="0.25">
      <c r="A6898" t="str">
        <f>T("   551219")</f>
        <v xml:space="preserve">   551219</v>
      </c>
      <c r="B6898" t="str">
        <f>T("   Tissus, teints, imprimés ou en fils de diverses couleurs, de fibres discontinues de polyester, contenant &gt;= 85% en poids de ces fibres")</f>
        <v xml:space="preserve">   Tissus, teints, imprimés ou en fils de diverses couleurs, de fibres discontinues de polyester, contenant &gt;= 85% en poids de ces fibres</v>
      </c>
      <c r="C6898">
        <v>39358</v>
      </c>
      <c r="D6898">
        <v>496</v>
      </c>
    </row>
    <row r="6899" spans="1:4" x14ac:dyDescent="0.25">
      <c r="A6899" t="str">
        <f>T("   560290")</f>
        <v xml:space="preserve">   560290</v>
      </c>
      <c r="B6899" t="str">
        <f>T("   Feutres, imprégnés, enduits, recouverts ou stratifiés (à l'excl. des feutres aiguilletés et des produits cousus-tricotés)")</f>
        <v xml:space="preserve">   Feutres, imprégnés, enduits, recouverts ou stratifiés (à l'excl. des feutres aiguilletés et des produits cousus-tricotés)</v>
      </c>
      <c r="C6899">
        <v>1550033</v>
      </c>
      <c r="D6899">
        <v>138</v>
      </c>
    </row>
    <row r="6900" spans="1:4" x14ac:dyDescent="0.25">
      <c r="A6900" t="str">
        <f>T("   570299")</f>
        <v xml:space="preserve">   570299</v>
      </c>
      <c r="B6900" t="s">
        <v>248</v>
      </c>
      <c r="C6900">
        <v>155108</v>
      </c>
      <c r="D6900">
        <v>27</v>
      </c>
    </row>
    <row r="6901" spans="1:4" x14ac:dyDescent="0.25">
      <c r="A6901" t="str">
        <f>T("   570490")</f>
        <v xml:space="preserve">   570490</v>
      </c>
      <c r="B6901" t="str">
        <f>T("   TAPIS ET AUTRES REVÊTEMENTS DE SOL, EN FEUTRE, NON TOUFFETÉS NI FLOQUÉS, MÊME CONFECTIONNÉS (À L'EXCL. DES CARREAUX D'UNE SUPERFICIE &lt;= 0,3 M¦)")</f>
        <v xml:space="preserve">   TAPIS ET AUTRES REVÊTEMENTS DE SOL, EN FEUTRE, NON TOUFFETÉS NI FLOQUÉS, MÊME CONFECTIONNÉS (À L'EXCL. DES CARREAUX D'UNE SUPERFICIE &lt;= 0,3 M¦)</v>
      </c>
      <c r="C6901">
        <v>973444</v>
      </c>
      <c r="D6901">
        <v>214</v>
      </c>
    </row>
    <row r="6902" spans="1:4" x14ac:dyDescent="0.25">
      <c r="A6902" t="str">
        <f>T("   581100")</f>
        <v xml:space="preserve">   581100</v>
      </c>
      <c r="B6902" t="s">
        <v>251</v>
      </c>
      <c r="C6902">
        <v>500000</v>
      </c>
      <c r="D6902">
        <v>500</v>
      </c>
    </row>
    <row r="6903" spans="1:4" x14ac:dyDescent="0.25">
      <c r="A6903" t="str">
        <f>T("   600290")</f>
        <v xml:space="preserve">   600290</v>
      </c>
      <c r="B6903" t="s">
        <v>259</v>
      </c>
      <c r="C6903">
        <v>2512000</v>
      </c>
      <c r="D6903">
        <v>6965</v>
      </c>
    </row>
    <row r="6904" spans="1:4" x14ac:dyDescent="0.25">
      <c r="A6904" t="str">
        <f>T("   610590")</f>
        <v xml:space="preserve">   610590</v>
      </c>
      <c r="B6904" t="str">
        <f>T("   Chemises et chemisettes, en bonneterie, de matières textiles, pour hommes ou garçonnets (sauf de coton, fibres synthétiques ou artificielles et sauf chemises de nuit, T-shirts et maillots de corps)")</f>
        <v xml:space="preserve">   Chemises et chemisettes, en bonneterie, de matières textiles, pour hommes ou garçonnets (sauf de coton, fibres synthétiques ou artificielles et sauf chemises de nuit, T-shirts et maillots de corps)</v>
      </c>
      <c r="C6904">
        <v>1509364</v>
      </c>
      <c r="D6904">
        <v>170</v>
      </c>
    </row>
    <row r="6905" spans="1:4" x14ac:dyDescent="0.25">
      <c r="A6905" t="str">
        <f>T("   610690")</f>
        <v xml:space="preserve">   610690</v>
      </c>
      <c r="B6905" t="str">
        <f>T("   Chemisiers, blouses, blouses-chemisiers et chemisettes, en bonneterie, de matières textiles, pour femmes ou fillettes (sauf de coton, fibres synthétiques ou artificielles et sauf T-shirts et gilets de corps)")</f>
        <v xml:space="preserve">   Chemisiers, blouses, blouses-chemisiers et chemisettes, en bonneterie, de matières textiles, pour femmes ou fillettes (sauf de coton, fibres synthétiques ou artificielles et sauf T-shirts et gilets de corps)</v>
      </c>
      <c r="C6905">
        <v>200000</v>
      </c>
      <c r="D6905">
        <v>500</v>
      </c>
    </row>
    <row r="6906" spans="1:4" x14ac:dyDescent="0.25">
      <c r="A6906" t="str">
        <f>T("   610990")</f>
        <v xml:space="preserve">   610990</v>
      </c>
      <c r="B6906" t="str">
        <f>T("   T-shirts et maillots de corps, en bonneterie, de matières textiles (sauf de coton)")</f>
        <v xml:space="preserve">   T-shirts et maillots de corps, en bonneterie, de matières textiles (sauf de coton)</v>
      </c>
      <c r="C6906">
        <v>11151</v>
      </c>
      <c r="D6906">
        <v>199</v>
      </c>
    </row>
    <row r="6907" spans="1:4" x14ac:dyDescent="0.25">
      <c r="A6907" t="str">
        <f>T("   611090")</f>
        <v xml:space="preserve">   611090</v>
      </c>
      <c r="B6907" t="str">
        <f>T("   Chandails, pull-overs, cardigans, gilets et articles simil., y.c. les sous-pulls, en bonneterie, de matières textiles (sauf de laine, poils fins, coton, fibres synthétiques ou artificielles et sauf gilets ouatinés)")</f>
        <v xml:space="preserve">   Chandails, pull-overs, cardigans, gilets et articles simil., y.c. les sous-pulls, en bonneterie, de matières textiles (sauf de laine, poils fins, coton, fibres synthétiques ou artificielles et sauf gilets ouatinés)</v>
      </c>
      <c r="C6907">
        <v>1776471</v>
      </c>
      <c r="D6907">
        <v>500</v>
      </c>
    </row>
    <row r="6908" spans="1:4" x14ac:dyDescent="0.25">
      <c r="A6908" t="str">
        <f>T("   611490")</f>
        <v xml:space="preserve">   611490</v>
      </c>
      <c r="B6908" t="str">
        <f>T("   Vêtements spéciaux destinés à des fins professionnelles, sportives ou autres n.d.a., en bonneterie, de matières textiles (sauf de laine, poils fins, coton, fibres synthétiques ou artificielles)")</f>
        <v xml:space="preserve">   Vêtements spéciaux destinés à des fins professionnelles, sportives ou autres n.d.a., en bonneterie, de matières textiles (sauf de laine, poils fins, coton, fibres synthétiques ou artificielles)</v>
      </c>
      <c r="C6908">
        <v>229586</v>
      </c>
      <c r="D6908">
        <v>425</v>
      </c>
    </row>
    <row r="6909" spans="1:4" x14ac:dyDescent="0.25">
      <c r="A6909" t="str">
        <f>T("   620319")</f>
        <v xml:space="preserve">   620319</v>
      </c>
      <c r="B6909" t="s">
        <v>267</v>
      </c>
      <c r="C6909">
        <v>379598</v>
      </c>
      <c r="D6909">
        <v>595</v>
      </c>
    </row>
    <row r="6910" spans="1:4" x14ac:dyDescent="0.25">
      <c r="A6910" t="str">
        <f>T("   620339")</f>
        <v xml:space="preserve">   620339</v>
      </c>
      <c r="B6910" t="str">
        <f>T("   Vestons de matières textiles, pour hommes ou garçonnets (autres que laine, poils fins, coton ou fibres synthétiques, autres qu'en bonneterie et sauf anoraks et articles simil.)")</f>
        <v xml:space="preserve">   Vestons de matières textiles, pour hommes ou garçonnets (autres que laine, poils fins, coton ou fibres synthétiques, autres qu'en bonneterie et sauf anoraks et articles simil.)</v>
      </c>
      <c r="C6910">
        <v>1952793</v>
      </c>
      <c r="D6910">
        <v>5000</v>
      </c>
    </row>
    <row r="6911" spans="1:4" x14ac:dyDescent="0.25">
      <c r="A6911" t="str">
        <f>T("   620342")</f>
        <v xml:space="preserve">   620342</v>
      </c>
      <c r="B6911" t="str">
        <f>T("   Pantalons, y.c. knickers et pantalons simil., salopettes à bretelles, culottes et shorts, de coton, pour hommes ou garçonnets (autres qu'en bonneterie et sauf slips et caleçons ainsi que maillots, culottes et slips de bain)")</f>
        <v xml:space="preserve">   Pantalons, y.c. knickers et pantalons simil., salopettes à bretelles, culottes et shorts, de coton, pour hommes ou garçonnets (autres qu'en bonneterie et sauf slips et caleçons ainsi que maillots, culottes et slips de bain)</v>
      </c>
      <c r="C6911">
        <v>169238</v>
      </c>
      <c r="D6911">
        <v>50</v>
      </c>
    </row>
    <row r="6912" spans="1:4" x14ac:dyDescent="0.25">
      <c r="A6912" t="str">
        <f>T("   620469")</f>
        <v xml:space="preserve">   620469</v>
      </c>
      <c r="B6912" t="s">
        <v>269</v>
      </c>
      <c r="C6912">
        <v>3241365</v>
      </c>
      <c r="D6912">
        <v>700</v>
      </c>
    </row>
    <row r="6913" spans="1:4" x14ac:dyDescent="0.25">
      <c r="A6913" t="str">
        <f>T("   620520")</f>
        <v xml:space="preserve">   620520</v>
      </c>
      <c r="B6913" t="str">
        <f>T("   Chemises et chemisettes, de coton, pour hommes ou garçonnets (autres qu'en bonneterie et sauf chemises de nuit et gilets de corps)")</f>
        <v xml:space="preserve">   Chemises et chemisettes, de coton, pour hommes ou garçonnets (autres qu'en bonneterie et sauf chemises de nuit et gilets de corps)</v>
      </c>
      <c r="C6913">
        <v>400000</v>
      </c>
      <c r="D6913">
        <v>182</v>
      </c>
    </row>
    <row r="6914" spans="1:4" x14ac:dyDescent="0.25">
      <c r="A6914" t="str">
        <f>T("   620590")</f>
        <v xml:space="preserve">   620590</v>
      </c>
      <c r="B6914"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6914">
        <v>543576</v>
      </c>
      <c r="D6914">
        <v>1550</v>
      </c>
    </row>
    <row r="6915" spans="1:4" x14ac:dyDescent="0.25">
      <c r="A6915" t="str">
        <f>T("   620920")</f>
        <v xml:space="preserve">   620920</v>
      </c>
      <c r="B6915" t="str">
        <f>T("   Vêtements et accessoires du vêtement, de coton, pour bébés (autres qu'en bonneterie et sauf bonnets)")</f>
        <v xml:space="preserve">   Vêtements et accessoires du vêtement, de coton, pour bébés (autres qu'en bonneterie et sauf bonnets)</v>
      </c>
      <c r="C6915">
        <v>432805</v>
      </c>
      <c r="D6915">
        <v>100</v>
      </c>
    </row>
    <row r="6916" spans="1:4" x14ac:dyDescent="0.25">
      <c r="A6916" t="str">
        <f>T("   621020")</f>
        <v xml:space="preserve">   621020</v>
      </c>
      <c r="B6916" t="str">
        <f>T("   Vêtements des types du n° 6201.11 à 6201.19 [manteaux, cabans, capes et articles simil.], caoutchoutés ou imprégnés, enduits ou recouverts de matière plastique ou d'autres substances")</f>
        <v xml:space="preserve">   Vêtements des types du n° 6201.11 à 6201.19 [manteaux, cabans, capes et articles simil.], caoutchoutés ou imprégnés, enduits ou recouverts de matière plastique ou d'autres substances</v>
      </c>
      <c r="C6916">
        <v>146935</v>
      </c>
      <c r="D6916">
        <v>71</v>
      </c>
    </row>
    <row r="6917" spans="1:4" x14ac:dyDescent="0.25">
      <c r="A6917" t="str">
        <f>T("   621030")</f>
        <v xml:space="preserve">   621030</v>
      </c>
      <c r="B6917" t="str">
        <f>T("   Vêtements des types du n° 6202.11 à 6202.19 [manteaux, cabans, capes et articles simil.], caoutchoutés ou imprégnés, enduits ou recouverts de matière plastique ou d'autres substances")</f>
        <v xml:space="preserve">   Vêtements des types du n° 6202.11 à 6202.19 [manteaux, cabans, capes et articles simil.], caoutchoutés ou imprégnés, enduits ou recouverts de matière plastique ou d'autres substances</v>
      </c>
      <c r="C6917">
        <v>207224</v>
      </c>
      <c r="D6917">
        <v>500</v>
      </c>
    </row>
    <row r="6918" spans="1:4" x14ac:dyDescent="0.25">
      <c r="A6918" t="str">
        <f>T("   621040")</f>
        <v xml:space="preserve">   621040</v>
      </c>
      <c r="B6918" t="s">
        <v>272</v>
      </c>
      <c r="C6918">
        <v>6137637</v>
      </c>
      <c r="D6918">
        <v>14154</v>
      </c>
    </row>
    <row r="6919" spans="1:4" x14ac:dyDescent="0.25">
      <c r="A6919" t="str">
        <f>T("   621139")</f>
        <v xml:space="preserve">   621139</v>
      </c>
      <c r="B6919" t="str">
        <f>T("   Survêtements de sport 'trainings' et autres vêtements n.d.a., de matières textiles, pour hommes ou garçonnets (autres que de laine, poils fins, coton, fibres synthétiques ou artificielles, autres qu'en bonneterie)")</f>
        <v xml:space="preserve">   Survêtements de sport 'trainings' et autres vêtements n.d.a., de matières textiles, pour hommes ou garçonnets (autres que de laine, poils fins, coton, fibres synthétiques ou artificielles, autres qu'en bonneterie)</v>
      </c>
      <c r="C6919">
        <v>5590747</v>
      </c>
      <c r="D6919">
        <v>7105</v>
      </c>
    </row>
    <row r="6920" spans="1:4" x14ac:dyDescent="0.25">
      <c r="A6920" t="str">
        <f>T("   630319")</f>
        <v xml:space="preserve">   630319</v>
      </c>
      <c r="B6920" t="str">
        <f>T("   Vitrages, rideaux et stores d'intérieur ainsi que cantonnières et tours de lit, en bonneterie (autres que de coton et fibres synthétiques et autres que stores d'extérieur)")</f>
        <v xml:space="preserve">   Vitrages, rideaux et stores d'intérieur ainsi que cantonnières et tours de lit, en bonneterie (autres que de coton et fibres synthétiques et autres que stores d'extérieur)</v>
      </c>
      <c r="C6920">
        <v>17919276</v>
      </c>
      <c r="D6920">
        <v>5202</v>
      </c>
    </row>
    <row r="6921" spans="1:4" x14ac:dyDescent="0.25">
      <c r="A6921" t="str">
        <f>T("   630639")</f>
        <v xml:space="preserve">   630639</v>
      </c>
      <c r="B6921" t="str">
        <f>T("   Voiles pour bateaux, planches à voiles et chars à voiles, de matières textiles (autres que de fibres synthétiques)")</f>
        <v xml:space="preserve">   Voiles pour bateaux, planches à voiles et chars à voiles, de matières textiles (autres que de fibres synthétiques)</v>
      </c>
      <c r="C6921">
        <v>61653</v>
      </c>
      <c r="D6921">
        <v>720</v>
      </c>
    </row>
    <row r="6922" spans="1:4" x14ac:dyDescent="0.25">
      <c r="A6922" t="str">
        <f>T("   630710")</f>
        <v xml:space="preserve">   630710</v>
      </c>
      <c r="B6922" t="str">
        <f>T("   Serpillières ou wassingues, lavettes, chamoisettes et articles d'entretien simil. en tous types de matières textiles")</f>
        <v xml:space="preserve">   Serpillières ou wassingues, lavettes, chamoisettes et articles d'entretien simil. en tous types de matières textiles</v>
      </c>
      <c r="C6922">
        <v>3243067</v>
      </c>
      <c r="D6922">
        <v>1976</v>
      </c>
    </row>
    <row r="6923" spans="1:4" x14ac:dyDescent="0.25">
      <c r="A6923" t="str">
        <f>T("   630790")</f>
        <v xml:space="preserve">   630790</v>
      </c>
      <c r="B6923" t="str">
        <f>T("   Articles de matières textiles, confectionnés, y.c. les patrons de vêtements n.d.a.")</f>
        <v xml:space="preserve">   Articles de matières textiles, confectionnés, y.c. les patrons de vêtements n.d.a.</v>
      </c>
      <c r="C6923">
        <v>773921</v>
      </c>
      <c r="D6923">
        <v>128</v>
      </c>
    </row>
    <row r="6924" spans="1:4" x14ac:dyDescent="0.25">
      <c r="A6924" t="str">
        <f>T("   630900")</f>
        <v xml:space="preserve">   630900</v>
      </c>
      <c r="B6924" t="s">
        <v>280</v>
      </c>
      <c r="C6924">
        <v>116702101</v>
      </c>
      <c r="D6924">
        <v>222719</v>
      </c>
    </row>
    <row r="6925" spans="1:4" x14ac:dyDescent="0.25">
      <c r="A6925" t="str">
        <f>T("   640219")</f>
        <v xml:space="preserve">   640219</v>
      </c>
      <c r="B6925" t="s">
        <v>283</v>
      </c>
      <c r="C6925">
        <v>27190</v>
      </c>
      <c r="D6925">
        <v>1707</v>
      </c>
    </row>
    <row r="6926" spans="1:4" x14ac:dyDescent="0.25">
      <c r="A6926" t="str">
        <f>T("   640220")</f>
        <v xml:space="preserve">   640220</v>
      </c>
      <c r="B6926" t="str">
        <f>T("   Chaussures à semelles extérieures et dessus en caoutchouc ou en matière plastique, à dessus en lanières ou brides fixées à la semelle par des tétons (sauf chaussures ayant le caractère de jouets)")</f>
        <v xml:space="preserve">   Chaussures à semelles extérieures et dessus en caoutchouc ou en matière plastique, à dessus en lanières ou brides fixées à la semelle par des tétons (sauf chaussures ayant le caractère de jouets)</v>
      </c>
      <c r="C6926">
        <v>234882</v>
      </c>
      <c r="D6926">
        <v>162</v>
      </c>
    </row>
    <row r="6927" spans="1:4" x14ac:dyDescent="0.25">
      <c r="A6927" t="str">
        <f>T("   640299")</f>
        <v xml:space="preserve">   640299</v>
      </c>
      <c r="B6927" t="s">
        <v>285</v>
      </c>
      <c r="C6927">
        <v>362000</v>
      </c>
      <c r="D6927">
        <v>170</v>
      </c>
    </row>
    <row r="6928" spans="1:4" x14ac:dyDescent="0.25">
      <c r="A6928" t="str">
        <f>T("   640319")</f>
        <v xml:space="preserve">   640319</v>
      </c>
      <c r="B6928" t="s">
        <v>286</v>
      </c>
      <c r="C6928">
        <v>25286127</v>
      </c>
      <c r="D6928">
        <v>2531</v>
      </c>
    </row>
    <row r="6929" spans="1:4" x14ac:dyDescent="0.25">
      <c r="A6929" t="str">
        <f>T("   640590")</f>
        <v xml:space="preserve">   640590</v>
      </c>
      <c r="B6929" t="s">
        <v>290</v>
      </c>
      <c r="C6929">
        <v>2228254</v>
      </c>
      <c r="D6929">
        <v>1078</v>
      </c>
    </row>
    <row r="6930" spans="1:4" x14ac:dyDescent="0.25">
      <c r="A6930" t="str">
        <f>T("   660110")</f>
        <v xml:space="preserve">   660110</v>
      </c>
      <c r="B6930" t="str">
        <f>T("   Parasols de jardin et articles simil. (sauf tentes de plage)")</f>
        <v xml:space="preserve">   Parasols de jardin et articles simil. (sauf tentes de plage)</v>
      </c>
      <c r="C6930">
        <v>462452</v>
      </c>
      <c r="D6930">
        <v>90</v>
      </c>
    </row>
    <row r="6931" spans="1:4" x14ac:dyDescent="0.25">
      <c r="A6931" t="str">
        <f>T("   660199")</f>
        <v xml:space="preserve">   660199</v>
      </c>
      <c r="B6931" t="str">
        <f>T("   Parapluies, y.c. les parapluies-cannes et ombrelles (sauf parapluies et ombrelles à mât ou à manche télescopique, parasols de jardin et articles simil. et sauf jouets d'enfants)")</f>
        <v xml:space="preserve">   Parapluies, y.c. les parapluies-cannes et ombrelles (sauf parapluies et ombrelles à mât ou à manche télescopique, parasols de jardin et articles simil. et sauf jouets d'enfants)</v>
      </c>
      <c r="C6931">
        <v>9587</v>
      </c>
      <c r="D6931">
        <v>35</v>
      </c>
    </row>
    <row r="6932" spans="1:4" x14ac:dyDescent="0.25">
      <c r="A6932" t="str">
        <f>T("   670210")</f>
        <v xml:space="preserve">   670210</v>
      </c>
      <c r="B6932" t="str">
        <f>T("   Fleurs, feuillages et fruits artificiels, y.c. leurs parties; articles confectionnés en fleurs, feuillages ou fruits artificiels fabriqués par ligature, collage, emboîtage ou procédés simil., en matières plastiques")</f>
        <v xml:space="preserve">   Fleurs, feuillages et fruits artificiels, y.c. leurs parties; articles confectionnés en fleurs, feuillages ou fruits artificiels fabriqués par ligature, collage, emboîtage ou procédés simil., en matières plastiques</v>
      </c>
      <c r="C6932">
        <v>170550</v>
      </c>
      <c r="D6932">
        <v>200</v>
      </c>
    </row>
    <row r="6933" spans="1:4" x14ac:dyDescent="0.25">
      <c r="A6933" t="str">
        <f>T("   680410")</f>
        <v xml:space="preserve">   680410</v>
      </c>
      <c r="B6933" t="str">
        <f>T("   Meules à moudre ou à défibrer (sans bâtis), en pierres naturelles, en abrasifs naturels ou artificiels agglomérés ou en céramique")</f>
        <v xml:space="preserve">   Meules à moudre ou à défibrer (sans bâtis), en pierres naturelles, en abrasifs naturels ou artificiels agglomérés ou en céramique</v>
      </c>
      <c r="C6933">
        <v>2523478</v>
      </c>
      <c r="D6933">
        <v>3390</v>
      </c>
    </row>
    <row r="6934" spans="1:4" x14ac:dyDescent="0.25">
      <c r="A6934" t="str">
        <f>T("   680690")</f>
        <v xml:space="preserve">   680690</v>
      </c>
      <c r="B6934" t="s">
        <v>299</v>
      </c>
      <c r="C6934">
        <v>83307</v>
      </c>
      <c r="D6934">
        <v>150</v>
      </c>
    </row>
    <row r="6935" spans="1:4" x14ac:dyDescent="0.25">
      <c r="A6935" t="str">
        <f>T("   680790")</f>
        <v xml:space="preserve">   680790</v>
      </c>
      <c r="B6935" t="str">
        <f>T("   Ouvrages en asphalte ou en produits simil., p.ex. poix de pétrole, brais (autres qu'en rouleaux)")</f>
        <v xml:space="preserve">   Ouvrages en asphalte ou en produits simil., p.ex. poix de pétrole, brais (autres qu'en rouleaux)</v>
      </c>
      <c r="C6935">
        <v>70582608</v>
      </c>
      <c r="D6935">
        <v>173593</v>
      </c>
    </row>
    <row r="6936" spans="1:4" x14ac:dyDescent="0.25">
      <c r="A6936" t="str">
        <f>T("   681019")</f>
        <v xml:space="preserve">   681019</v>
      </c>
      <c r="B6936" t="str">
        <f>T("   Tuiles, carreaux, dalles et articles simil., en ciment, en béton ou en pierre artificielle (autres que blocs et briques pour la construction)")</f>
        <v xml:space="preserve">   Tuiles, carreaux, dalles et articles simil., en ciment, en béton ou en pierre artificielle (autres que blocs et briques pour la construction)</v>
      </c>
      <c r="C6936">
        <v>4550231</v>
      </c>
      <c r="D6936">
        <v>40000</v>
      </c>
    </row>
    <row r="6937" spans="1:4" x14ac:dyDescent="0.25">
      <c r="A6937" t="str">
        <f>T("   681110")</f>
        <v xml:space="preserve">   681110</v>
      </c>
      <c r="B6937" t="str">
        <f>T("   Plaques ondulées en amiante-ciment, cellulose-ciment ou simil.")</f>
        <v xml:space="preserve">   Plaques ondulées en amiante-ciment, cellulose-ciment ou simil.</v>
      </c>
      <c r="C6937">
        <v>1035105</v>
      </c>
      <c r="D6937">
        <v>1490</v>
      </c>
    </row>
    <row r="6938" spans="1:4" x14ac:dyDescent="0.25">
      <c r="A6938" t="str">
        <f>T("   681120")</f>
        <v xml:space="preserve">   681120</v>
      </c>
      <c r="B6938" t="str">
        <f>T("   Plaques, panneaux, carreaux, tuiles et articles simil., en amiante-ciment, cellulose-ciment ou simil. (sauf plaques ondulées)")</f>
        <v xml:space="preserve">   Plaques, panneaux, carreaux, tuiles et articles simil., en amiante-ciment, cellulose-ciment ou simil. (sauf plaques ondulées)</v>
      </c>
      <c r="C6938">
        <v>32553242</v>
      </c>
      <c r="D6938">
        <v>449200</v>
      </c>
    </row>
    <row r="6939" spans="1:4" x14ac:dyDescent="0.25">
      <c r="A6939" t="str">
        <f>T("   690510")</f>
        <v xml:space="preserve">   690510</v>
      </c>
      <c r="B6939" t="str">
        <f>T("   Tuiles")</f>
        <v xml:space="preserve">   Tuiles</v>
      </c>
      <c r="C6939">
        <v>19700000</v>
      </c>
      <c r="D6939">
        <v>117890</v>
      </c>
    </row>
    <row r="6940" spans="1:4" x14ac:dyDescent="0.25">
      <c r="A6940" t="str">
        <f>T("   690790")</f>
        <v xml:space="preserve">   690790</v>
      </c>
      <c r="B6940" t="s">
        <v>310</v>
      </c>
      <c r="C6940">
        <v>25440668</v>
      </c>
      <c r="D6940">
        <v>247076</v>
      </c>
    </row>
    <row r="6941" spans="1:4" x14ac:dyDescent="0.25">
      <c r="A6941" t="str">
        <f>T("   690810")</f>
        <v xml:space="preserve">   690810</v>
      </c>
      <c r="B6941" t="str">
        <f>T("   Carreaux, cubes, dés et simil., en céramique, pour mosaïques, vernissés ou émaillés, même de forme autre que carrée ou rectangulaire, dont la plus grande surface peut être inscrite dans un carré de côté &lt; 7 cm, même sur support")</f>
        <v xml:space="preserve">   Carreaux, cubes, dés et simil., en céramique, pour mosaïques, vernissés ou émaillés, même de forme autre que carrée ou rectangulaire, dont la plus grande surface peut être inscrite dans un carré de côté &lt; 7 cm, même sur support</v>
      </c>
      <c r="C6941">
        <v>7183687</v>
      </c>
      <c r="D6941">
        <v>26019</v>
      </c>
    </row>
    <row r="6942" spans="1:4" x14ac:dyDescent="0.25">
      <c r="A6942" t="str">
        <f>T("   690890")</f>
        <v xml:space="preserve">   690890</v>
      </c>
      <c r="B6942" t="s">
        <v>311</v>
      </c>
      <c r="C6942">
        <v>183363933</v>
      </c>
      <c r="D6942">
        <v>1252319</v>
      </c>
    </row>
    <row r="6943" spans="1:4" x14ac:dyDescent="0.25">
      <c r="A6943" t="str">
        <f>T("   691090")</f>
        <v xml:space="preserve">   691090</v>
      </c>
      <c r="B6943" t="s">
        <v>313</v>
      </c>
      <c r="C6943">
        <v>69292719</v>
      </c>
      <c r="D6943">
        <v>22905</v>
      </c>
    </row>
    <row r="6944" spans="1:4" x14ac:dyDescent="0.25">
      <c r="A6944" t="str">
        <f>T("   691190")</f>
        <v xml:space="preserve">   691190</v>
      </c>
      <c r="B6944" t="s">
        <v>315</v>
      </c>
      <c r="C6944">
        <v>1338158</v>
      </c>
      <c r="D6944">
        <v>338</v>
      </c>
    </row>
    <row r="6945" spans="1:4" x14ac:dyDescent="0.25">
      <c r="A6945" t="str">
        <f>T("   700719")</f>
        <v xml:space="preserve">   700719</v>
      </c>
      <c r="B6945" t="s">
        <v>320</v>
      </c>
      <c r="C6945">
        <v>9857766</v>
      </c>
      <c r="D6945">
        <v>14408</v>
      </c>
    </row>
    <row r="6946" spans="1:4" x14ac:dyDescent="0.25">
      <c r="A6946" t="str">
        <f>T("   701090")</f>
        <v xml:space="preserve">   701090</v>
      </c>
      <c r="B6946" t="s">
        <v>323</v>
      </c>
      <c r="C6946">
        <v>655960</v>
      </c>
      <c r="D6946">
        <v>180</v>
      </c>
    </row>
    <row r="6947" spans="1:4" x14ac:dyDescent="0.25">
      <c r="A6947" t="str">
        <f>T("   701329")</f>
        <v xml:space="preserve">   701329</v>
      </c>
      <c r="B6947" t="str">
        <f>T("   Verres à boire (autres qu'en vitrocérame, autres qu'en cristal au plomb)")</f>
        <v xml:space="preserve">   Verres à boire (autres qu'en vitrocérame, autres qu'en cristal au plomb)</v>
      </c>
      <c r="C6947">
        <v>6050580</v>
      </c>
      <c r="D6947">
        <v>11120</v>
      </c>
    </row>
    <row r="6948" spans="1:4" x14ac:dyDescent="0.25">
      <c r="A6948" t="str">
        <f>T("   701399")</f>
        <v xml:space="preserve">   701399</v>
      </c>
      <c r="B6948" t="s">
        <v>328</v>
      </c>
      <c r="C6948">
        <v>705275</v>
      </c>
      <c r="D6948">
        <v>117</v>
      </c>
    </row>
    <row r="6949" spans="1:4" x14ac:dyDescent="0.25">
      <c r="A6949" t="str">
        <f>T("   701720")</f>
        <v xml:space="preserve">   701720</v>
      </c>
      <c r="B6949" t="s">
        <v>331</v>
      </c>
      <c r="C6949">
        <v>481258</v>
      </c>
      <c r="D6949">
        <v>83</v>
      </c>
    </row>
    <row r="6950" spans="1:4" x14ac:dyDescent="0.25">
      <c r="A6950" t="str">
        <f>T("   701790")</f>
        <v xml:space="preserve">   701790</v>
      </c>
      <c r="B6950" t="s">
        <v>332</v>
      </c>
      <c r="C6950">
        <v>353681</v>
      </c>
      <c r="D6950">
        <v>59</v>
      </c>
    </row>
    <row r="6951" spans="1:4" x14ac:dyDescent="0.25">
      <c r="A6951" t="str">
        <f>T("   702000")</f>
        <v xml:space="preserve">   702000</v>
      </c>
      <c r="B6951" t="str">
        <f>T("   Ouvrages en verre n.d.a.")</f>
        <v xml:space="preserve">   Ouvrages en verre n.d.a.</v>
      </c>
      <c r="C6951">
        <v>479350</v>
      </c>
      <c r="D6951">
        <v>600</v>
      </c>
    </row>
    <row r="6952" spans="1:4" x14ac:dyDescent="0.25">
      <c r="A6952" t="str">
        <f>T("   711719")</f>
        <v xml:space="preserve">   711719</v>
      </c>
      <c r="B6952" t="str">
        <f>T("   Bijouterie de fantaisie en métaux communs, même argentés, dorés ou platinés (à l'excl. des boutons de manchettes et des boutons simil.)")</f>
        <v xml:space="preserve">   Bijouterie de fantaisie en métaux communs, même argentés, dorés ou platinés (à l'excl. des boutons de manchettes et des boutons simil.)</v>
      </c>
      <c r="C6952">
        <v>125590</v>
      </c>
      <c r="D6952">
        <v>30</v>
      </c>
    </row>
    <row r="6953" spans="1:4" x14ac:dyDescent="0.25">
      <c r="A6953" t="str">
        <f>T("   721049")</f>
        <v xml:space="preserve">   721049</v>
      </c>
      <c r="B6953" t="str">
        <f>T("   Produits laminés plats, en fer ou en aciers non alliés, d'une largeur &gt;= 600 mm, laminés à chaud ou à froid, zingués, non ondulés (à l'excl. des produits zingués électrolytiquement)")</f>
        <v xml:space="preserve">   Produits laminés plats, en fer ou en aciers non alliés, d'une largeur &gt;= 600 mm, laminés à chaud ou à froid, zingués, non ondulés (à l'excl. des produits zingués électrolytiquement)</v>
      </c>
      <c r="C6953">
        <v>4656677</v>
      </c>
      <c r="D6953">
        <v>5257</v>
      </c>
    </row>
    <row r="6954" spans="1:4" x14ac:dyDescent="0.25">
      <c r="A6954" t="str">
        <f>T("   721090")</f>
        <v xml:space="preserve">   721090</v>
      </c>
      <c r="B6954" t="s">
        <v>337</v>
      </c>
      <c r="C6954">
        <v>45330116</v>
      </c>
      <c r="D6954">
        <v>71900</v>
      </c>
    </row>
    <row r="6955" spans="1:4" x14ac:dyDescent="0.25">
      <c r="A6955" t="str">
        <f>T("   721510")</f>
        <v xml:space="preserve">   721510</v>
      </c>
      <c r="B6955" t="str">
        <f>T("   Barres en aciers de décolletage non alliés, simplement obtenues ou parachevées à froid")</f>
        <v xml:space="preserve">   Barres en aciers de décolletage non alliés, simplement obtenues ou parachevées à froid</v>
      </c>
      <c r="C6955">
        <v>12679051</v>
      </c>
      <c r="D6955">
        <v>15447</v>
      </c>
    </row>
    <row r="6956" spans="1:4" x14ac:dyDescent="0.25">
      <c r="A6956" t="str">
        <f>T("   730799")</f>
        <v xml:space="preserve">   730799</v>
      </c>
      <c r="B6956" t="str">
        <f>T("   Accessoires de tuyauterie, en fer ou aciers (autres que moulés ou en aciers inoxydables; sauf brides; coudes, courbes et manchons, filetés et sauf accessoires à souder bout à bout)")</f>
        <v xml:space="preserve">   Accessoires de tuyauterie, en fer ou aciers (autres que moulés ou en aciers inoxydables; sauf brides; coudes, courbes et manchons, filetés et sauf accessoires à souder bout à bout)</v>
      </c>
      <c r="C6956">
        <v>73468</v>
      </c>
      <c r="D6956">
        <v>0.5</v>
      </c>
    </row>
    <row r="6957" spans="1:4" x14ac:dyDescent="0.25">
      <c r="A6957" t="str">
        <f>T("   730830")</f>
        <v xml:space="preserve">   730830</v>
      </c>
      <c r="B6957" t="str">
        <f>T("   Portes, fenêtres et leurs cadres et chambranles ainsi que leurs seuils, en fer ou en acier")</f>
        <v xml:space="preserve">   Portes, fenêtres et leurs cadres et chambranles ainsi que leurs seuils, en fer ou en acier</v>
      </c>
      <c r="C6957">
        <v>1313967</v>
      </c>
      <c r="D6957">
        <v>150</v>
      </c>
    </row>
    <row r="6958" spans="1:4" x14ac:dyDescent="0.25">
      <c r="A6958" t="str">
        <f>T("   730890")</f>
        <v xml:space="preserve">   730890</v>
      </c>
      <c r="B6958" t="s">
        <v>349</v>
      </c>
      <c r="C6958">
        <v>1154489</v>
      </c>
      <c r="D6958">
        <v>2238</v>
      </c>
    </row>
    <row r="6959" spans="1:4" x14ac:dyDescent="0.25">
      <c r="A6959" t="str">
        <f>T("   731029")</f>
        <v xml:space="preserve">   731029</v>
      </c>
      <c r="B6959" t="str">
        <f>T("   Réservoirs, fûts, tambours, bidons et récipients simil., en fer ou en acier, pour toutes matières, contenance &lt; 50 l, n.d.a. (sauf pour gaz comprimés ou liquéfiés, sans dispositifs mécaniques ou thermiques et à l'excl. des boîtes)")</f>
        <v xml:space="preserve">   Réservoirs, fûts, tambours, bidons et récipients simil., en fer ou en acier, pour toutes matières, contenance &lt; 50 l, n.d.a. (sauf pour gaz comprimés ou liquéfiés, sans dispositifs mécaniques ou thermiques et à l'excl. des boîtes)</v>
      </c>
      <c r="C6959">
        <v>82915969</v>
      </c>
      <c r="D6959">
        <v>35959</v>
      </c>
    </row>
    <row r="6960" spans="1:4" x14ac:dyDescent="0.25">
      <c r="A6960" t="str">
        <f>T("   731700")</f>
        <v xml:space="preserve">   731700</v>
      </c>
      <c r="B6960" t="str">
        <f>T("   Pointes, clous, punaises, crampons appointés, agrafes ondulées ou biseautées et articles simil., en fonte, fer ou acier, même avec tête en autre matière (à l'excl. de ceux avec tête en cuivre et à l'excl. des agrafes en barrettes)")</f>
        <v xml:space="preserve">   Pointes, clous, punaises, crampons appointés, agrafes ondulées ou biseautées et articles simil., en fonte, fer ou acier, même avec tête en autre matière (à l'excl. de ceux avec tête en cuivre et à l'excl. des agrafes en barrettes)</v>
      </c>
      <c r="C6960">
        <v>1192535</v>
      </c>
      <c r="D6960">
        <v>934</v>
      </c>
    </row>
    <row r="6961" spans="1:4" x14ac:dyDescent="0.25">
      <c r="A6961" t="str">
        <f>T("   731813")</f>
        <v xml:space="preserve">   731813</v>
      </c>
      <c r="B6961" t="str">
        <f>T("   Crochets et pitons à pas de vis en fonte, fer ou acier")</f>
        <v xml:space="preserve">   Crochets et pitons à pas de vis en fonte, fer ou acier</v>
      </c>
      <c r="C6961">
        <v>607419</v>
      </c>
      <c r="D6961">
        <v>3</v>
      </c>
    </row>
    <row r="6962" spans="1:4" x14ac:dyDescent="0.25">
      <c r="A6962" t="str">
        <f>T("   731814")</f>
        <v xml:space="preserve">   731814</v>
      </c>
      <c r="B6962" t="str">
        <f>T("   Vis autotaraudeuses en fonte, fer ou acier (autres que vis à bois)")</f>
        <v xml:space="preserve">   Vis autotaraudeuses en fonte, fer ou acier (autres que vis à bois)</v>
      </c>
      <c r="C6962">
        <v>1200000</v>
      </c>
      <c r="D6962">
        <v>400</v>
      </c>
    </row>
    <row r="6963" spans="1:4" x14ac:dyDescent="0.25">
      <c r="A6963" t="str">
        <f>T("   731815")</f>
        <v xml:space="preserve">   731815</v>
      </c>
      <c r="B6963" t="s">
        <v>354</v>
      </c>
      <c r="C6963">
        <v>12063</v>
      </c>
      <c r="D6963">
        <v>1</v>
      </c>
    </row>
    <row r="6964" spans="1:4" x14ac:dyDescent="0.25">
      <c r="A6964" t="str">
        <f>T("   732111")</f>
        <v xml:space="preserve">   732111</v>
      </c>
      <c r="B6964" t="s">
        <v>356</v>
      </c>
      <c r="C6964">
        <v>37153228</v>
      </c>
      <c r="D6964">
        <v>28269</v>
      </c>
    </row>
    <row r="6965" spans="1:4" x14ac:dyDescent="0.25">
      <c r="A6965" t="str">
        <f>T("   732112")</f>
        <v xml:space="preserve">   732112</v>
      </c>
      <c r="B6965" t="s">
        <v>357</v>
      </c>
      <c r="C6965">
        <v>134750</v>
      </c>
      <c r="D6965">
        <v>439</v>
      </c>
    </row>
    <row r="6966" spans="1:4" x14ac:dyDescent="0.25">
      <c r="A6966" t="str">
        <f>T("   732190")</f>
        <v xml:space="preserve">   732190</v>
      </c>
      <c r="B6966" t="str">
        <f>T("   Parties des appareils ménagers chauffants non-électriques du n° 7321, n.d.a.")</f>
        <v xml:space="preserve">   Parties des appareils ménagers chauffants non-électriques du n° 7321, n.d.a.</v>
      </c>
      <c r="C6966">
        <v>164860</v>
      </c>
      <c r="D6966">
        <v>69</v>
      </c>
    </row>
    <row r="6967" spans="1:4" x14ac:dyDescent="0.25">
      <c r="A6967" t="str">
        <f>T("   732393")</f>
        <v xml:space="preserve">   732393</v>
      </c>
      <c r="B6967" t="s">
        <v>360</v>
      </c>
      <c r="C6967">
        <v>1930490</v>
      </c>
      <c r="D6967">
        <v>2000</v>
      </c>
    </row>
    <row r="6968" spans="1:4" x14ac:dyDescent="0.25">
      <c r="A6968" t="str">
        <f>T("   732394")</f>
        <v xml:space="preserve">   732394</v>
      </c>
      <c r="B6968" t="s">
        <v>361</v>
      </c>
      <c r="C6968">
        <v>275504</v>
      </c>
      <c r="D6968">
        <v>450</v>
      </c>
    </row>
    <row r="6969" spans="1:4" x14ac:dyDescent="0.25">
      <c r="A6969" t="str">
        <f>T("   732399")</f>
        <v xml:space="preserve">   732399</v>
      </c>
      <c r="B6969" t="s">
        <v>362</v>
      </c>
      <c r="C6969">
        <v>7113588</v>
      </c>
      <c r="D6969">
        <v>8707</v>
      </c>
    </row>
    <row r="6970" spans="1:4" x14ac:dyDescent="0.25">
      <c r="A6970" t="str">
        <f>T("   732410")</f>
        <v xml:space="preserve">   732410</v>
      </c>
      <c r="B6970" t="str">
        <f>T("   ÉVIERS ET LAVABOS EN ACIER INOXYDABLE")</f>
        <v xml:space="preserve">   ÉVIERS ET LAVABOS EN ACIER INOXYDABLE</v>
      </c>
      <c r="C6970">
        <v>657189</v>
      </c>
      <c r="D6970">
        <v>1417</v>
      </c>
    </row>
    <row r="6971" spans="1:4" x14ac:dyDescent="0.25">
      <c r="A6971" t="str">
        <f>T("   732429")</f>
        <v xml:space="preserve">   732429</v>
      </c>
      <c r="B6971" t="str">
        <f>T("   Baignoires en tôle d'acier")</f>
        <v xml:space="preserve">   Baignoires en tôle d'acier</v>
      </c>
      <c r="C6971">
        <v>774689</v>
      </c>
      <c r="D6971">
        <v>150</v>
      </c>
    </row>
    <row r="6972" spans="1:4" x14ac:dyDescent="0.25">
      <c r="A6972" t="str">
        <f>T("   732599")</f>
        <v xml:space="preserve">   732599</v>
      </c>
      <c r="B6972" t="str">
        <f>T("   OUVRAGES EN FONTE, FER OU ACIER, MOULÉS, N.D.A. (À L'EXCL. DE LA FONTE NON-MALLÉABLE ET SAUF BOULETS ET ARTICLES SIMIL. POUR BROYEURS)")</f>
        <v xml:space="preserve">   OUVRAGES EN FONTE, FER OU ACIER, MOULÉS, N.D.A. (À L'EXCL. DE LA FONTE NON-MALLÉABLE ET SAUF BOULETS ET ARTICLES SIMIL. POUR BROYEURS)</v>
      </c>
      <c r="C6972">
        <v>90000</v>
      </c>
      <c r="D6972">
        <v>90</v>
      </c>
    </row>
    <row r="6973" spans="1:4" x14ac:dyDescent="0.25">
      <c r="A6973" t="str">
        <f>T("   732690")</f>
        <v xml:space="preserve">   732690</v>
      </c>
      <c r="B6973"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6973">
        <v>10391139</v>
      </c>
      <c r="D6973">
        <v>4143</v>
      </c>
    </row>
    <row r="6974" spans="1:4" x14ac:dyDescent="0.25">
      <c r="A6974" t="str">
        <f>T("   750890")</f>
        <v xml:space="preserve">   750890</v>
      </c>
      <c r="B6974" t="str">
        <f>T("   Ouvrages en nickel, n.d.a.")</f>
        <v xml:space="preserve">   Ouvrages en nickel, n.d.a.</v>
      </c>
      <c r="C6974">
        <v>58380</v>
      </c>
      <c r="D6974">
        <v>37</v>
      </c>
    </row>
    <row r="6975" spans="1:4" x14ac:dyDescent="0.25">
      <c r="A6975" t="str">
        <f>T("   760429")</f>
        <v xml:space="preserve">   760429</v>
      </c>
      <c r="B6975" t="str">
        <f>T("   Barres et profilés pleins en alliages d'aluminium, n.d.a.")</f>
        <v xml:space="preserve">   Barres et profilés pleins en alliages d'aluminium, n.d.a.</v>
      </c>
      <c r="C6975">
        <v>27530928</v>
      </c>
      <c r="D6975">
        <v>27761</v>
      </c>
    </row>
    <row r="6976" spans="1:4" x14ac:dyDescent="0.25">
      <c r="A6976" t="str">
        <f>T("   761010")</f>
        <v xml:space="preserve">   761010</v>
      </c>
      <c r="B6976" t="str">
        <f>T("   Portes, fenêtres et leurs cadres, chambranles et seuils, en aluminium (sauf pièces de garnissage)")</f>
        <v xml:space="preserve">   Portes, fenêtres et leurs cadres, chambranles et seuils, en aluminium (sauf pièces de garnissage)</v>
      </c>
      <c r="C6976">
        <v>32085500</v>
      </c>
      <c r="D6976">
        <v>21512</v>
      </c>
    </row>
    <row r="6977" spans="1:4" x14ac:dyDescent="0.25">
      <c r="A6977" t="str">
        <f>T("   761090")</f>
        <v xml:space="preserve">   761090</v>
      </c>
      <c r="B6977" t="str">
        <f>T("   Constructions et parties de constructions, en aluminium, n.d.a., ainsi que tôles, barres, profilés, tubes, tuyaux et simil., en aluminium, n.d.a; (sauf constructions préfabriquées du n° 9406, portes, fenêtres et leurs cadres, chambranles et seuils)")</f>
        <v xml:space="preserve">   Constructions et parties de constructions, en aluminium, n.d.a., ainsi que tôles, barres, profilés, tubes, tuyaux et simil., en aluminium, n.d.a; (sauf constructions préfabriquées du n° 9406, portes, fenêtres et leurs cadres, chambranles et seuils)</v>
      </c>
      <c r="C6977">
        <v>12005321</v>
      </c>
      <c r="D6977">
        <v>440</v>
      </c>
    </row>
    <row r="6978" spans="1:4" x14ac:dyDescent="0.25">
      <c r="A6978" t="str">
        <f>T("   761290")</f>
        <v xml:space="preserve">   761290</v>
      </c>
      <c r="B6978" t="str">
        <f>T("   Réservoirs, fûts, tambours, bidons, boîtes et récipients simil., en aluminium, y.c. les étuis tubulaires rigides, pour toutes matières, sauf gaz comprimés ou liquéfiés, d'une contenance &lt;= 300 l, n.d.a.")</f>
        <v xml:space="preserve">   Réservoirs, fûts, tambours, bidons, boîtes et récipients simil., en aluminium, y.c. les étuis tubulaires rigides, pour toutes matières, sauf gaz comprimés ou liquéfiés, d'une contenance &lt;= 300 l, n.d.a.</v>
      </c>
      <c r="C6978">
        <v>13738427</v>
      </c>
      <c r="D6978">
        <v>4220</v>
      </c>
    </row>
    <row r="6979" spans="1:4" x14ac:dyDescent="0.25">
      <c r="A6979" t="str">
        <f>T("   761519")</f>
        <v xml:space="preserve">   761519</v>
      </c>
      <c r="B6979" t="s">
        <v>367</v>
      </c>
      <c r="C6979">
        <v>98394</v>
      </c>
      <c r="D6979">
        <v>400</v>
      </c>
    </row>
    <row r="6980" spans="1:4" x14ac:dyDescent="0.25">
      <c r="A6980" t="str">
        <f>T("   761699")</f>
        <v xml:space="preserve">   761699</v>
      </c>
      <c r="B6980" t="str">
        <f>T("   Ouvrages en aluminium, n.d.a.")</f>
        <v xml:space="preserve">   Ouvrages en aluminium, n.d.a.</v>
      </c>
      <c r="C6980">
        <v>2584954</v>
      </c>
      <c r="D6980">
        <v>4471</v>
      </c>
    </row>
    <row r="6981" spans="1:4" x14ac:dyDescent="0.25">
      <c r="A6981" t="str">
        <f>T("   820210")</f>
        <v xml:space="preserve">   820210</v>
      </c>
      <c r="B6981" t="str">
        <f>T("   Scies à main, avec partie travaillante en métaux communs (à l'excl. des tronçonneuses)")</f>
        <v xml:space="preserve">   Scies à main, avec partie travaillante en métaux communs (à l'excl. des tronçonneuses)</v>
      </c>
      <c r="C6981">
        <v>442773</v>
      </c>
      <c r="D6981">
        <v>1667</v>
      </c>
    </row>
    <row r="6982" spans="1:4" x14ac:dyDescent="0.25">
      <c r="A6982" t="str">
        <f>T("   820220")</f>
        <v xml:space="preserve">   820220</v>
      </c>
      <c r="B6982" t="str">
        <f>T("   Lames de scies à ruban en métaux communs")</f>
        <v xml:space="preserve">   Lames de scies à ruban en métaux communs</v>
      </c>
      <c r="C6982">
        <v>880527</v>
      </c>
      <c r="D6982">
        <v>2242</v>
      </c>
    </row>
    <row r="6983" spans="1:4" x14ac:dyDescent="0.25">
      <c r="A6983" t="str">
        <f>T("   820299")</f>
        <v xml:space="preserve">   820299</v>
      </c>
      <c r="B6983" t="s">
        <v>370</v>
      </c>
      <c r="C6983">
        <v>912440</v>
      </c>
      <c r="D6983">
        <v>26</v>
      </c>
    </row>
    <row r="6984" spans="1:4" x14ac:dyDescent="0.25">
      <c r="A6984" t="str">
        <f>T("   820559")</f>
        <v xml:space="preserve">   820559</v>
      </c>
      <c r="B6984" t="str">
        <f>T("   Outils à main, y.c. -les diamants de vitrier-, en métaux communs, n.d.a.")</f>
        <v xml:space="preserve">   Outils à main, y.c. -les diamants de vitrier-, en métaux communs, n.d.a.</v>
      </c>
      <c r="C6984">
        <v>168581</v>
      </c>
      <c r="D6984">
        <v>145</v>
      </c>
    </row>
    <row r="6985" spans="1:4" x14ac:dyDescent="0.25">
      <c r="A6985" t="str">
        <f>T("   820580")</f>
        <v xml:space="preserve">   820580</v>
      </c>
      <c r="B6985" t="str">
        <f>T("   Enclumes; forges portatives; meules avec bâtis, à main ou à pédale")</f>
        <v xml:space="preserve">   Enclumes; forges portatives; meules avec bâtis, à main ou à pédale</v>
      </c>
      <c r="C6985">
        <v>199412</v>
      </c>
      <c r="D6985">
        <v>150</v>
      </c>
    </row>
    <row r="6986" spans="1:4" x14ac:dyDescent="0.25">
      <c r="A6986" t="str">
        <f>T("   820720")</f>
        <v xml:space="preserve">   820720</v>
      </c>
      <c r="B6986" t="str">
        <f>T("   Filières interchangeables pour l'étirage ou le filage -extrusion- des métaux")</f>
        <v xml:space="preserve">   Filières interchangeables pour l'étirage ou le filage -extrusion- des métaux</v>
      </c>
      <c r="C6986">
        <v>1439176</v>
      </c>
      <c r="D6986">
        <v>9.6999999999999993</v>
      </c>
    </row>
    <row r="6987" spans="1:4" x14ac:dyDescent="0.25">
      <c r="A6987" t="str">
        <f>T("   820790")</f>
        <v xml:space="preserve">   820790</v>
      </c>
      <c r="B6987" t="str">
        <f>T("   Outils interchangeables pour outillage à main, mécanique ou non, ou pour machines-outils, n.d.a.")</f>
        <v xml:space="preserve">   Outils interchangeables pour outillage à main, mécanique ou non, ou pour machines-outils, n.d.a.</v>
      </c>
      <c r="C6987">
        <v>2422460</v>
      </c>
      <c r="D6987">
        <v>121</v>
      </c>
    </row>
    <row r="6988" spans="1:4" x14ac:dyDescent="0.25">
      <c r="A6988" t="str">
        <f>T("   820890")</f>
        <v xml:space="preserve">   820890</v>
      </c>
      <c r="B6988" t="s">
        <v>371</v>
      </c>
      <c r="C6988">
        <v>1042976</v>
      </c>
      <c r="D6988">
        <v>72</v>
      </c>
    </row>
    <row r="6989" spans="1:4" x14ac:dyDescent="0.25">
      <c r="A6989" t="str">
        <f>T("   830130")</f>
        <v xml:space="preserve">   830130</v>
      </c>
      <c r="B6989" t="str">
        <f>T("   Serrures des types utilisés pour meubles, en métaux communs")</f>
        <v xml:space="preserve">   Serrures des types utilisés pour meubles, en métaux communs</v>
      </c>
      <c r="C6989">
        <v>4170824</v>
      </c>
      <c r="D6989">
        <v>312</v>
      </c>
    </row>
    <row r="6990" spans="1:4" x14ac:dyDescent="0.25">
      <c r="A6990" t="str">
        <f>T("   830249")</f>
        <v xml:space="preserve">   830249</v>
      </c>
      <c r="B6990" t="s">
        <v>375</v>
      </c>
      <c r="C6990">
        <v>5886742</v>
      </c>
      <c r="D6990">
        <v>17915</v>
      </c>
    </row>
    <row r="6991" spans="1:4" x14ac:dyDescent="0.25">
      <c r="A6991" t="str">
        <f>T("   830610")</f>
        <v xml:space="preserve">   830610</v>
      </c>
      <c r="B6991" t="str">
        <f>T("   Cloches, sonnettes, gongs et articles simil. non-électriques, en métaux communs (sauf instruments de musique)")</f>
        <v xml:space="preserve">   Cloches, sonnettes, gongs et articles simil. non-électriques, en métaux communs (sauf instruments de musique)</v>
      </c>
      <c r="C6991">
        <v>2020357</v>
      </c>
      <c r="D6991">
        <v>720</v>
      </c>
    </row>
    <row r="6992" spans="1:4" x14ac:dyDescent="0.25">
      <c r="A6992" t="str">
        <f>T("   830910")</f>
        <v xml:space="preserve">   830910</v>
      </c>
      <c r="B6992" t="str">
        <f>T("   Bouchons-couronnes en métaux communs")</f>
        <v xml:space="preserve">   Bouchons-couronnes en métaux communs</v>
      </c>
      <c r="C6992">
        <v>122148279</v>
      </c>
      <c r="D6992">
        <v>56934</v>
      </c>
    </row>
    <row r="6993" spans="1:4" x14ac:dyDescent="0.25">
      <c r="A6993" t="str">
        <f>T("   840999")</f>
        <v xml:space="preserve">   840999</v>
      </c>
      <c r="B6993" t="str">
        <f>T("   Parties reconnaissables comme étant exclusivement ou principalement destinées aux moteurs à piston à allumage par compression, n.d.a.")</f>
        <v xml:space="preserve">   Parties reconnaissables comme étant exclusivement ou principalement destinées aux moteurs à piston à allumage par compression, n.d.a.</v>
      </c>
      <c r="C6993">
        <v>2686811</v>
      </c>
      <c r="D6993">
        <v>610</v>
      </c>
    </row>
    <row r="6994" spans="1:4" x14ac:dyDescent="0.25">
      <c r="A6994" t="str">
        <f>T("   841381")</f>
        <v xml:space="preserve">   841381</v>
      </c>
      <c r="B6994" t="s">
        <v>393</v>
      </c>
      <c r="C6994">
        <v>4489749</v>
      </c>
      <c r="D6994">
        <v>190</v>
      </c>
    </row>
    <row r="6995" spans="1:4" x14ac:dyDescent="0.25">
      <c r="A6995" t="str">
        <f>T("   841391")</f>
        <v xml:space="preserve">   841391</v>
      </c>
      <c r="B6995" t="str">
        <f>T("   Parties de pompes pour liquides, n.d.a.")</f>
        <v xml:space="preserve">   Parties de pompes pour liquides, n.d.a.</v>
      </c>
      <c r="C6995">
        <v>828647</v>
      </c>
      <c r="D6995">
        <v>51</v>
      </c>
    </row>
    <row r="6996" spans="1:4" x14ac:dyDescent="0.25">
      <c r="A6996" t="str">
        <f>T("   841420")</f>
        <v xml:space="preserve">   841420</v>
      </c>
      <c r="B6996" t="str">
        <f>T("   Pompes à air, à main ou à pied")</f>
        <v xml:space="preserve">   Pompes à air, à main ou à pied</v>
      </c>
      <c r="C6996">
        <v>2903278</v>
      </c>
      <c r="D6996">
        <v>1285</v>
      </c>
    </row>
    <row r="6997" spans="1:4" x14ac:dyDescent="0.25">
      <c r="A6997" t="str">
        <f>T("   841430")</f>
        <v xml:space="preserve">   841430</v>
      </c>
      <c r="B6997" t="str">
        <f>T("   Compresseurs des types utilisés pour équipements frigorifiques")</f>
        <v xml:space="preserve">   Compresseurs des types utilisés pour équipements frigorifiques</v>
      </c>
      <c r="C6997">
        <v>4888213</v>
      </c>
      <c r="D6997">
        <v>2768</v>
      </c>
    </row>
    <row r="6998" spans="1:4" x14ac:dyDescent="0.25">
      <c r="A6998" t="str">
        <f>T("   841440")</f>
        <v xml:space="preserve">   841440</v>
      </c>
      <c r="B6998" t="str">
        <f>T("   Compresseurs d'air montés sur châssis à roues et remorquables")</f>
        <v xml:space="preserve">   Compresseurs d'air montés sur châssis à roues et remorquables</v>
      </c>
      <c r="C6998">
        <v>16252806</v>
      </c>
      <c r="D6998">
        <v>18208</v>
      </c>
    </row>
    <row r="6999" spans="1:4" x14ac:dyDescent="0.25">
      <c r="A6999" t="str">
        <f>T("   841490")</f>
        <v xml:space="preserve">   841490</v>
      </c>
      <c r="B6999" t="str">
        <f>T("   Parties de pompes à air ou à vide, de compresseurs d'air ou d'autres gaz et de ventilateurs, de hottes aspirantes à extraction ou à recyclage, à ventilateur incorporé, n.d.a.")</f>
        <v xml:space="preserve">   Parties de pompes à air ou à vide, de compresseurs d'air ou d'autres gaz et de ventilateurs, de hottes aspirantes à extraction ou à recyclage, à ventilateur incorporé, n.d.a.</v>
      </c>
      <c r="C6999">
        <v>16803670</v>
      </c>
      <c r="D6999">
        <v>14755</v>
      </c>
    </row>
    <row r="7000" spans="1:4" x14ac:dyDescent="0.25">
      <c r="A7000" t="str">
        <f>T("   841510")</f>
        <v xml:space="preserve">   841510</v>
      </c>
      <c r="B7000" t="s">
        <v>395</v>
      </c>
      <c r="C7000">
        <v>1798708</v>
      </c>
      <c r="D7000">
        <v>1480</v>
      </c>
    </row>
    <row r="7001" spans="1:4" x14ac:dyDescent="0.25">
      <c r="A7001" t="str">
        <f>T("   841520")</f>
        <v xml:space="preserve">   841520</v>
      </c>
      <c r="B7001" t="str">
        <f>T("   Machines et appareils pour le conditionnement de l'air du type de ceux utilisés pour le confort des personnes dans les véhicules automobiles")</f>
        <v xml:space="preserve">   Machines et appareils pour le conditionnement de l'air du type de ceux utilisés pour le confort des personnes dans les véhicules automobiles</v>
      </c>
      <c r="C7001">
        <v>100000</v>
      </c>
      <c r="D7001">
        <v>50</v>
      </c>
    </row>
    <row r="7002" spans="1:4" x14ac:dyDescent="0.25">
      <c r="A7002" t="str">
        <f>T("   841590")</f>
        <v xml:space="preserve">   841590</v>
      </c>
      <c r="B7002" t="str">
        <f>T("   Parties de machines et appareils pour le conditionnement de l'air comprenant un ventilateur à moteur et des dispositifs propres à modifier la température et l'humidité de l'air, n.d.a.")</f>
        <v xml:space="preserve">   Parties de machines et appareils pour le conditionnement de l'air comprenant un ventilateur à moteur et des dispositifs propres à modifier la température et l'humidité de l'air, n.d.a.</v>
      </c>
      <c r="C7002">
        <v>115186575</v>
      </c>
      <c r="D7002">
        <v>35052</v>
      </c>
    </row>
    <row r="7003" spans="1:4" x14ac:dyDescent="0.25">
      <c r="A7003" t="str">
        <f>T("   841780")</f>
        <v xml:space="preserve">   841780</v>
      </c>
      <c r="B7003" t="s">
        <v>399</v>
      </c>
      <c r="C7003">
        <v>2892784</v>
      </c>
      <c r="D7003">
        <v>4020</v>
      </c>
    </row>
    <row r="7004" spans="1:4" x14ac:dyDescent="0.25">
      <c r="A7004" t="str">
        <f>T("   841810")</f>
        <v xml:space="preserve">   841810</v>
      </c>
      <c r="B7004" t="str">
        <f>T("   Réfrigérateurs et congélateurs-conservateurs combinés, avec portes extérieures séparées")</f>
        <v xml:space="preserve">   Réfrigérateurs et congélateurs-conservateurs combinés, avec portes extérieures séparées</v>
      </c>
      <c r="C7004">
        <v>5269615</v>
      </c>
      <c r="D7004">
        <v>3400</v>
      </c>
    </row>
    <row r="7005" spans="1:4" x14ac:dyDescent="0.25">
      <c r="A7005" t="str">
        <f>T("   841821")</f>
        <v xml:space="preserve">   841821</v>
      </c>
      <c r="B7005" t="str">
        <f>T("   Réfrigérateurs ménagers à compression")</f>
        <v xml:space="preserve">   Réfrigérateurs ménagers à compression</v>
      </c>
      <c r="C7005">
        <v>604074</v>
      </c>
      <c r="D7005">
        <v>2085</v>
      </c>
    </row>
    <row r="7006" spans="1:4" x14ac:dyDescent="0.25">
      <c r="A7006" t="str">
        <f>T("   841822")</f>
        <v xml:space="preserve">   841822</v>
      </c>
      <c r="B7006" t="str">
        <f>T("   Réfrigérateurs ménagers à absorption, électriques")</f>
        <v xml:space="preserve">   Réfrigérateurs ménagers à absorption, électriques</v>
      </c>
      <c r="C7006">
        <v>918344</v>
      </c>
      <c r="D7006">
        <v>1800</v>
      </c>
    </row>
    <row r="7007" spans="1:4" x14ac:dyDescent="0.25">
      <c r="A7007" t="str">
        <f>T("   841829")</f>
        <v xml:space="preserve">   841829</v>
      </c>
      <c r="B7007" t="str">
        <f>T("   Réfrigérateurs ménagers à absorption, non-électriques")</f>
        <v xml:space="preserve">   Réfrigérateurs ménagers à absorption, non-électriques</v>
      </c>
      <c r="C7007">
        <v>19214549</v>
      </c>
      <c r="D7007">
        <v>20961</v>
      </c>
    </row>
    <row r="7008" spans="1:4" x14ac:dyDescent="0.25">
      <c r="A7008" t="str">
        <f>T("   841830")</f>
        <v xml:space="preserve">   841830</v>
      </c>
      <c r="B7008" t="str">
        <f>T("   Meubles congélateurs-conservateurs du type coffre, capacité &lt;= 800 l")</f>
        <v xml:space="preserve">   Meubles congélateurs-conservateurs du type coffre, capacité &lt;= 800 l</v>
      </c>
      <c r="C7008">
        <v>47887266</v>
      </c>
      <c r="D7008">
        <v>23119.4</v>
      </c>
    </row>
    <row r="7009" spans="1:4" x14ac:dyDescent="0.25">
      <c r="A7009" t="str">
        <f>T("   841840")</f>
        <v xml:space="preserve">   841840</v>
      </c>
      <c r="B7009" t="str">
        <f>T("   Meubles congélateurs-conservateurs du type armoire, capacité &lt;= 900 l")</f>
        <v xml:space="preserve">   Meubles congélateurs-conservateurs du type armoire, capacité &lt;= 900 l</v>
      </c>
      <c r="C7009">
        <v>17138516</v>
      </c>
      <c r="D7009">
        <v>12871</v>
      </c>
    </row>
    <row r="7010" spans="1:4" x14ac:dyDescent="0.25">
      <c r="A7010" t="str">
        <f>T("   841850")</f>
        <v xml:space="preserve">   841850</v>
      </c>
      <c r="B7010" t="s">
        <v>400</v>
      </c>
      <c r="C7010">
        <v>19950512</v>
      </c>
      <c r="D7010">
        <v>9877</v>
      </c>
    </row>
    <row r="7011" spans="1:4" x14ac:dyDescent="0.25">
      <c r="A7011" t="str">
        <f>T("   841869")</f>
        <v xml:space="preserve">   841869</v>
      </c>
      <c r="B7011" t="str">
        <f>T("   Matériel, machines et appareils pour la production du froid ainsi que pompes à chaleur à absorption (autres que réfrigérateurs et meubles congélateurs-conservateurs)")</f>
        <v xml:space="preserve">   Matériel, machines et appareils pour la production du froid ainsi que pompes à chaleur à absorption (autres que réfrigérateurs et meubles congélateurs-conservateurs)</v>
      </c>
      <c r="C7011">
        <v>19743531</v>
      </c>
      <c r="D7011">
        <v>3686</v>
      </c>
    </row>
    <row r="7012" spans="1:4" x14ac:dyDescent="0.25">
      <c r="A7012" t="str">
        <f>T("   841891")</f>
        <v xml:space="preserve">   841891</v>
      </c>
      <c r="B7012" t="str">
        <f>T("   Meubles conçus pour recevoir un équipement pour la production du froid")</f>
        <v xml:space="preserve">   Meubles conçus pour recevoir un équipement pour la production du froid</v>
      </c>
      <c r="C7012">
        <v>27883859</v>
      </c>
      <c r="D7012">
        <v>17913</v>
      </c>
    </row>
    <row r="7013" spans="1:4" x14ac:dyDescent="0.25">
      <c r="A7013" t="str">
        <f>T("   841899")</f>
        <v xml:space="preserve">   841899</v>
      </c>
      <c r="B7013" t="str">
        <f>T("   Parties de réfrigérateurs et de congélateurs-conservateurs du type armoire et du type coffre et d'autres matériel, machines et appareils pour la production du froid, parties de pompes à chaleur, n.d.a.")</f>
        <v xml:space="preserve">   Parties de réfrigérateurs et de congélateurs-conservateurs du type armoire et du type coffre et d'autres matériel, machines et appareils pour la production du froid, parties de pompes à chaleur, n.d.a.</v>
      </c>
      <c r="C7013">
        <v>14324199</v>
      </c>
      <c r="D7013">
        <v>4768</v>
      </c>
    </row>
    <row r="7014" spans="1:4" x14ac:dyDescent="0.25">
      <c r="A7014" t="str">
        <f>T("   841920")</f>
        <v xml:space="preserve">   841920</v>
      </c>
      <c r="B7014" t="str">
        <f>T("   Stérilisateurs médico-chirurgicaux ou de laboratoire")</f>
        <v xml:space="preserve">   Stérilisateurs médico-chirurgicaux ou de laboratoire</v>
      </c>
      <c r="C7014">
        <v>4362134</v>
      </c>
      <c r="D7014">
        <v>63</v>
      </c>
    </row>
    <row r="7015" spans="1:4" x14ac:dyDescent="0.25">
      <c r="A7015" t="str">
        <f>T("   841939")</f>
        <v xml:space="preserve">   841939</v>
      </c>
      <c r="B7015" t="str">
        <f>T("   Séchoirs (sauf pour produits agricoles, pâtes à papier, papier ou carton, pour fils, tissus ou autres matières textiles, pour bouteilles ou autres récipients, sèche-cheveux, sèche-mains et sauf appareils ménagers)")</f>
        <v xml:space="preserve">   Séchoirs (sauf pour produits agricoles, pâtes à papier, papier ou carton, pour fils, tissus ou autres matières textiles, pour bouteilles ou autres récipients, sèche-cheveux, sèche-mains et sauf appareils ménagers)</v>
      </c>
      <c r="C7015">
        <v>67461903</v>
      </c>
      <c r="D7015">
        <v>6970</v>
      </c>
    </row>
    <row r="7016" spans="1:4" x14ac:dyDescent="0.25">
      <c r="A7016" t="str">
        <f>T("   841989")</f>
        <v xml:space="preserve">   841989</v>
      </c>
      <c r="B7016" t="s">
        <v>401</v>
      </c>
      <c r="C7016">
        <v>40577837</v>
      </c>
      <c r="D7016">
        <v>3427</v>
      </c>
    </row>
    <row r="7017" spans="1:4" x14ac:dyDescent="0.25">
      <c r="A7017" t="str">
        <f>T("   842123")</f>
        <v xml:space="preserve">   842123</v>
      </c>
      <c r="B7017" t="str">
        <f>T("   Appareils pour la filtration des huiles minérales et carburants pour les moteurs à allumage par étincelles ou par compression")</f>
        <v xml:space="preserve">   Appareils pour la filtration des huiles minérales et carburants pour les moteurs à allumage par étincelles ou par compression</v>
      </c>
      <c r="C7017">
        <v>38046</v>
      </c>
      <c r="D7017">
        <v>6</v>
      </c>
    </row>
    <row r="7018" spans="1:4" x14ac:dyDescent="0.25">
      <c r="A7018" t="str">
        <f>T("   842129")</f>
        <v xml:space="preserve">   842129</v>
      </c>
      <c r="B7018" t="str">
        <f>T("   Appareils pour la filtration ou l'épuration des liquides (à l'excl. de l'eau ou des boissons, des huiles minérales et carburants pour les moteurs à allumage par étincelles ou par compression ainsi que les reins artificiels)")</f>
        <v xml:space="preserve">   Appareils pour la filtration ou l'épuration des liquides (à l'excl. de l'eau ou des boissons, des huiles minérales et carburants pour les moteurs à allumage par étincelles ou par compression ainsi que les reins artificiels)</v>
      </c>
      <c r="C7018">
        <v>614831</v>
      </c>
      <c r="D7018">
        <v>6</v>
      </c>
    </row>
    <row r="7019" spans="1:4" x14ac:dyDescent="0.25">
      <c r="A7019" t="str">
        <f>T("   842199")</f>
        <v xml:space="preserve">   842199</v>
      </c>
      <c r="B7019" t="str">
        <f>T("   Parties d'appareils pour la filtration ou l'épuration des liquides ou des gaz, n.d.a.")</f>
        <v xml:space="preserve">   Parties d'appareils pour la filtration ou l'épuration des liquides ou des gaz, n.d.a.</v>
      </c>
      <c r="C7019">
        <v>162101</v>
      </c>
      <c r="D7019">
        <v>1</v>
      </c>
    </row>
    <row r="7020" spans="1:4" x14ac:dyDescent="0.25">
      <c r="A7020" t="str">
        <f>T("   842211")</f>
        <v xml:space="preserve">   842211</v>
      </c>
      <c r="B7020" t="str">
        <f>T("   Machines à laver la vaisselle, de type ménager")</f>
        <v xml:space="preserve">   Machines à laver la vaisselle, de type ménager</v>
      </c>
      <c r="C7020">
        <v>1137553</v>
      </c>
      <c r="D7020">
        <v>439</v>
      </c>
    </row>
    <row r="7021" spans="1:4" x14ac:dyDescent="0.25">
      <c r="A7021" t="str">
        <f>T("   842230")</f>
        <v xml:space="preserve">   842230</v>
      </c>
      <c r="B7021" t="str">
        <f>T("   Machines et appareils à remplir, fermer, boucher ou étiqueter les bouteilles, boîtes, sacs ou autres contenants; machines et appareils à capsuler les bouteilles, pots, tubes et contenants analogues; appareils à gazéifier les boissons")</f>
        <v xml:space="preserve">   Machines et appareils à remplir, fermer, boucher ou étiqueter les bouteilles, boîtes, sacs ou autres contenants; machines et appareils à capsuler les bouteilles, pots, tubes et contenants analogues; appareils à gazéifier les boissons</v>
      </c>
      <c r="C7021">
        <v>377833</v>
      </c>
      <c r="D7021">
        <v>520</v>
      </c>
    </row>
    <row r="7022" spans="1:4" x14ac:dyDescent="0.25">
      <c r="A7022" t="str">
        <f>T("   842290")</f>
        <v xml:space="preserve">   842290</v>
      </c>
      <c r="B7022" t="str">
        <f>T("   Parties des machines à laver la vaisselle, des machines à empaqueter ou à emballer les marchandises et autres machines et appareils du n° 8422, n.d.a.")</f>
        <v xml:space="preserve">   Parties des machines à laver la vaisselle, des machines à empaqueter ou à emballer les marchandises et autres machines et appareils du n° 8422, n.d.a.</v>
      </c>
      <c r="C7022">
        <v>6756991</v>
      </c>
      <c r="D7022">
        <v>2865</v>
      </c>
    </row>
    <row r="7023" spans="1:4" x14ac:dyDescent="0.25">
      <c r="A7023" t="str">
        <f>T("   842310")</f>
        <v xml:space="preserve">   842310</v>
      </c>
      <c r="B7023" t="str">
        <f>T("   Pèse-personnes, y.c. les pèse-bébés; balances de ménage")</f>
        <v xml:space="preserve">   Pèse-personnes, y.c. les pèse-bébés; balances de ménage</v>
      </c>
      <c r="C7023">
        <v>1246324</v>
      </c>
      <c r="D7023">
        <v>500</v>
      </c>
    </row>
    <row r="7024" spans="1:4" x14ac:dyDescent="0.25">
      <c r="A7024" t="str">
        <f>T("   842330")</f>
        <v xml:space="preserve">   842330</v>
      </c>
      <c r="B7024" t="str">
        <f>T("   Bascules à pesées constantes et balances et bascules ensacheuses ou doseuses (à l'excl. des balances à pesage continu sur transporteurs)")</f>
        <v xml:space="preserve">   Bascules à pesées constantes et balances et bascules ensacheuses ou doseuses (à l'excl. des balances à pesage continu sur transporteurs)</v>
      </c>
      <c r="C7024">
        <v>5429415</v>
      </c>
      <c r="D7024">
        <v>114</v>
      </c>
    </row>
    <row r="7025" spans="1:4" x14ac:dyDescent="0.25">
      <c r="A7025" t="str">
        <f>T("   842382")</f>
        <v xml:space="preserve">   842382</v>
      </c>
      <c r="B7025" t="str">
        <f>T("   Appareils et instruments de pesage, portée &gt; 30 kg mais &lt;= 5000 kg (à l'excl. des pèse-personnes, bascules à pesage continu sur transporteurs, bascules à pesées constantes et balances et bascules ensacheuses ou doseuses)")</f>
        <v xml:space="preserve">   Appareils et instruments de pesage, portée &gt; 30 kg mais &lt;= 5000 kg (à l'excl. des pèse-personnes, bascules à pesage continu sur transporteurs, bascules à pesées constantes et balances et bascules ensacheuses ou doseuses)</v>
      </c>
      <c r="C7025">
        <v>171756</v>
      </c>
      <c r="D7025">
        <v>505</v>
      </c>
    </row>
    <row r="7026" spans="1:4" x14ac:dyDescent="0.25">
      <c r="A7026" t="str">
        <f>T("   842542")</f>
        <v xml:space="preserve">   842542</v>
      </c>
      <c r="B7026" t="str">
        <f>T("   Crics et vérins, hydrauliques (sauf élévateurs fixes des types utilisés dans les garages pour voitures)")</f>
        <v xml:space="preserve">   Crics et vérins, hydrauliques (sauf élévateurs fixes des types utilisés dans les garages pour voitures)</v>
      </c>
      <c r="C7026">
        <v>302398</v>
      </c>
      <c r="D7026">
        <v>261</v>
      </c>
    </row>
    <row r="7027" spans="1:4" x14ac:dyDescent="0.25">
      <c r="A7027" t="str">
        <f>T("   842790")</f>
        <v xml:space="preserve">   842790</v>
      </c>
      <c r="B7027" t="str">
        <f>T("   Chariots de manutention munis d'un dispositif de levage mais non autopropulsés")</f>
        <v xml:space="preserve">   Chariots de manutention munis d'un dispositif de levage mais non autopropulsés</v>
      </c>
      <c r="C7027">
        <v>314205</v>
      </c>
      <c r="D7027">
        <v>271</v>
      </c>
    </row>
    <row r="7028" spans="1:4" x14ac:dyDescent="0.25">
      <c r="A7028" t="str">
        <f>T("   842833")</f>
        <v xml:space="preserve">   842833</v>
      </c>
      <c r="B7028" t="str">
        <f>T("   Appareils élévateurs, transporteurs ou convoyeurs pour marchandises, à action continue, à bande ou à courroie (autres que conçus pour mines au fond et autres travaux souterrains)")</f>
        <v xml:space="preserve">   Appareils élévateurs, transporteurs ou convoyeurs pour marchandises, à action continue, à bande ou à courroie (autres que conçus pour mines au fond et autres travaux souterrains)</v>
      </c>
      <c r="C7028">
        <v>21434475</v>
      </c>
      <c r="D7028">
        <v>1122</v>
      </c>
    </row>
    <row r="7029" spans="1:4" x14ac:dyDescent="0.25">
      <c r="A7029" t="str">
        <f>T("   842839")</f>
        <v xml:space="preserve">   842839</v>
      </c>
      <c r="B7029" t="str">
        <f>T("   Appareils élévateurs, transporteurs ou convoyeurs pour marchandises, à action continue (autres que conçus pour mines au fond ou pour autres travaux souterrains, autres qu'à benne, à bande ou à courroie et autres que pneumatiques)")</f>
        <v xml:space="preserve">   Appareils élévateurs, transporteurs ou convoyeurs pour marchandises, à action continue (autres que conçus pour mines au fond ou pour autres travaux souterrains, autres qu'à benne, à bande ou à courroie et autres que pneumatiques)</v>
      </c>
      <c r="C7029">
        <v>12756610</v>
      </c>
      <c r="D7029">
        <v>17103</v>
      </c>
    </row>
    <row r="7030" spans="1:4" x14ac:dyDescent="0.25">
      <c r="A7030" t="str">
        <f>T("   842951")</f>
        <v xml:space="preserve">   842951</v>
      </c>
      <c r="B7030" t="str">
        <f>T("   Chargeuses et chargeuses-pelleteuses, à chargement frontal, autopropulsées")</f>
        <v xml:space="preserve">   Chargeuses et chargeuses-pelleteuses, à chargement frontal, autopropulsées</v>
      </c>
      <c r="C7030">
        <v>4635013</v>
      </c>
      <c r="D7030">
        <v>15000</v>
      </c>
    </row>
    <row r="7031" spans="1:4" x14ac:dyDescent="0.25">
      <c r="A7031" t="str">
        <f>T("   842959")</f>
        <v xml:space="preserve">   842959</v>
      </c>
      <c r="B7031" t="str">
        <f>T("   PELLES MÉCANIQUES, EXCAVATEURS, CHARGEUSES ET CHARGEUSES-PELLETEUSES, AUTOPROPULSÉS (SAUF PELLES-MÉCANIQUES DONT LA SUPERSTRUCTURE PEUT EFFECTUER UNE ROTATION DE 360¦ ET SAUF CHARGEUSES À CHARGEMENT FRONTAL)")</f>
        <v xml:space="preserve">   PELLES MÉCANIQUES, EXCAVATEURS, CHARGEUSES ET CHARGEUSES-PELLETEUSES, AUTOPROPULSÉS (SAUF PELLES-MÉCANIQUES DONT LA SUPERSTRUCTURE PEUT EFFECTUER UNE ROTATION DE 360¦ ET SAUF CHARGEUSES À CHARGEMENT FRONTAL)</v>
      </c>
      <c r="C7031">
        <v>4276859</v>
      </c>
      <c r="D7031">
        <v>10000</v>
      </c>
    </row>
    <row r="7032" spans="1:4" x14ac:dyDescent="0.25">
      <c r="A7032" t="str">
        <f>T("   843131")</f>
        <v xml:space="preserve">   843131</v>
      </c>
      <c r="B7032" t="str">
        <f>T("   Parties d'ascenseurs, monte-charge ou escaliers mécaniques, n.d.a.")</f>
        <v xml:space="preserve">   Parties d'ascenseurs, monte-charge ou escaliers mécaniques, n.d.a.</v>
      </c>
      <c r="C7032">
        <v>8000000</v>
      </c>
      <c r="D7032">
        <v>7485</v>
      </c>
    </row>
    <row r="7033" spans="1:4" x14ac:dyDescent="0.25">
      <c r="A7033" t="str">
        <f>T("   843149")</f>
        <v xml:space="preserve">   843149</v>
      </c>
      <c r="B7033" t="str">
        <f>T("   Parties de machines et appareils du n° 8426, 8429 ou 8430, n.d.a.")</f>
        <v xml:space="preserve">   Parties de machines et appareils du n° 8426, 8429 ou 8430, n.d.a.</v>
      </c>
      <c r="C7033">
        <v>644153</v>
      </c>
      <c r="D7033">
        <v>19</v>
      </c>
    </row>
    <row r="7034" spans="1:4" x14ac:dyDescent="0.25">
      <c r="A7034" t="str">
        <f>T("   843210")</f>
        <v xml:space="preserve">   843210</v>
      </c>
      <c r="B7034" t="str">
        <f>T("   Charrues pour l'agriculture, la sylviculture ou l'horticulture")</f>
        <v xml:space="preserve">   Charrues pour l'agriculture, la sylviculture ou l'horticulture</v>
      </c>
      <c r="C7034">
        <v>180566</v>
      </c>
      <c r="D7034">
        <v>1004</v>
      </c>
    </row>
    <row r="7035" spans="1:4" x14ac:dyDescent="0.25">
      <c r="A7035" t="str">
        <f>T("   843290")</f>
        <v xml:space="preserve">   843290</v>
      </c>
      <c r="B7035" t="str">
        <f>T("   Parties de machines, appareils et engins agricoles, sylvicoles ou horticoles pour la préparation ou le travail du sol ou pour la culture, ainsi que de rouleaux pour pelouses ou terrains de sport, n.d.a.")</f>
        <v xml:space="preserve">   Parties de machines, appareils et engins agricoles, sylvicoles ou horticoles pour la préparation ou le travail du sol ou pour la culture, ainsi que de rouleaux pour pelouses ou terrains de sport, n.d.a.</v>
      </c>
      <c r="C7035">
        <v>211396</v>
      </c>
      <c r="D7035">
        <v>110</v>
      </c>
    </row>
    <row r="7036" spans="1:4" x14ac:dyDescent="0.25">
      <c r="A7036" t="str">
        <f>T("   843340")</f>
        <v xml:space="preserve">   843340</v>
      </c>
      <c r="B7036" t="str">
        <f>T("   Presses à paille ou à fourrage, y.c. les presses ramasseuses")</f>
        <v xml:space="preserve">   Presses à paille ou à fourrage, y.c. les presses ramasseuses</v>
      </c>
      <c r="C7036">
        <v>702894</v>
      </c>
      <c r="D7036">
        <v>753</v>
      </c>
    </row>
    <row r="7037" spans="1:4" x14ac:dyDescent="0.25">
      <c r="A7037" t="str">
        <f>T("   843780")</f>
        <v xml:space="preserve">   843780</v>
      </c>
      <c r="B7037" t="s">
        <v>412</v>
      </c>
      <c r="C7037">
        <v>154144</v>
      </c>
      <c r="D7037">
        <v>150</v>
      </c>
    </row>
    <row r="7038" spans="1:4" x14ac:dyDescent="0.25">
      <c r="A7038" t="str">
        <f>T("   843880")</f>
        <v xml:space="preserve">   843880</v>
      </c>
      <c r="B7038" t="str">
        <f>T("   Machines et appareils pour la préparation ou la fabrication industrielles d'aliments ou de boissons, n.d.a.")</f>
        <v xml:space="preserve">   Machines et appareils pour la préparation ou la fabrication industrielles d'aliments ou de boissons, n.d.a.</v>
      </c>
      <c r="C7038">
        <v>265664</v>
      </c>
      <c r="D7038">
        <v>560</v>
      </c>
    </row>
    <row r="7039" spans="1:4" x14ac:dyDescent="0.25">
      <c r="A7039" t="str">
        <f>T("   843890")</f>
        <v xml:space="preserve">   843890</v>
      </c>
      <c r="B7039" t="str">
        <f>T("   Parties des machines et appareils pour le traitement, la préparation ou la fabrication industriels d'aliments ou de boissons, n.d.a.")</f>
        <v xml:space="preserve">   Parties des machines et appareils pour le traitement, la préparation ou la fabrication industriels d'aliments ou de boissons, n.d.a.</v>
      </c>
      <c r="C7039">
        <v>2405051</v>
      </c>
      <c r="D7039">
        <v>675</v>
      </c>
    </row>
    <row r="7040" spans="1:4" x14ac:dyDescent="0.25">
      <c r="A7040" t="str">
        <f>T("   844090")</f>
        <v xml:space="preserve">   844090</v>
      </c>
      <c r="B7040" t="str">
        <f>T("   Parties de machines et appareils pour le brochage ou la reliure, n.d.a.")</f>
        <v xml:space="preserve">   Parties de machines et appareils pour le brochage ou la reliure, n.d.a.</v>
      </c>
      <c r="C7040">
        <v>482131</v>
      </c>
      <c r="D7040">
        <v>100</v>
      </c>
    </row>
    <row r="7041" spans="1:4" x14ac:dyDescent="0.25">
      <c r="A7041" t="str">
        <f>T("   844311")</f>
        <v xml:space="preserve">   844311</v>
      </c>
      <c r="B7041" t="str">
        <f>T("   Machines et appareils à imprimer, offset, alimentés en bobines")</f>
        <v xml:space="preserve">   Machines et appareils à imprimer, offset, alimentés en bobines</v>
      </c>
      <c r="C7041">
        <v>87588830</v>
      </c>
      <c r="D7041">
        <v>10910</v>
      </c>
    </row>
    <row r="7042" spans="1:4" x14ac:dyDescent="0.25">
      <c r="A7042" t="str">
        <f>T("   844359")</f>
        <v xml:space="preserve">   844359</v>
      </c>
      <c r="B7042" t="s">
        <v>418</v>
      </c>
      <c r="C7042">
        <v>15258843</v>
      </c>
      <c r="D7042">
        <v>9810</v>
      </c>
    </row>
    <row r="7043" spans="1:4" x14ac:dyDescent="0.25">
      <c r="A7043" t="str">
        <f>T("   844390")</f>
        <v xml:space="preserve">   844390</v>
      </c>
      <c r="B7043" t="str">
        <f>T("   Parties de machines et appareils à imprimer et de leur machines et appareils auxiliaires, n.d.a.")</f>
        <v xml:space="preserve">   Parties de machines et appareils à imprimer et de leur machines et appareils auxiliaires, n.d.a.</v>
      </c>
      <c r="C7043">
        <v>58318079</v>
      </c>
      <c r="D7043">
        <v>5180</v>
      </c>
    </row>
    <row r="7044" spans="1:4" x14ac:dyDescent="0.25">
      <c r="A7044" t="str">
        <f>T("   844859")</f>
        <v xml:space="preserve">   844859</v>
      </c>
      <c r="B7044" t="str">
        <f>T("   Parties et accessoires des métiers, machines et appareils du n° 8447, n.d.a.")</f>
        <v xml:space="preserve">   Parties et accessoires des métiers, machines et appareils du n° 8447, n.d.a.</v>
      </c>
      <c r="C7044">
        <v>887389</v>
      </c>
      <c r="D7044">
        <v>7</v>
      </c>
    </row>
    <row r="7045" spans="1:4" x14ac:dyDescent="0.25">
      <c r="A7045" t="str">
        <f>T("   845011")</f>
        <v xml:space="preserve">   845011</v>
      </c>
      <c r="B7045" t="str">
        <f>T("   Machines à laver le linge entièrement automatiques, d'une capacité unitaire exprimée en poids de linge sec &lt;= 6 kg")</f>
        <v xml:space="preserve">   Machines à laver le linge entièrement automatiques, d'une capacité unitaire exprimée en poids de linge sec &lt;= 6 kg</v>
      </c>
      <c r="C7045">
        <v>838986</v>
      </c>
      <c r="D7045">
        <v>692</v>
      </c>
    </row>
    <row r="7046" spans="1:4" x14ac:dyDescent="0.25">
      <c r="A7046" t="str">
        <f>T("   845012")</f>
        <v xml:space="preserve">   845012</v>
      </c>
      <c r="B7046" t="str">
        <f>T("   Machines à laver le linge, avec essoreuse centrifuge incorporée (à l'excl. des machines entièrement automatiques)")</f>
        <v xml:space="preserve">   Machines à laver le linge, avec essoreuse centrifuge incorporée (à l'excl. des machines entièrement automatiques)</v>
      </c>
      <c r="C7046">
        <v>123098</v>
      </c>
      <c r="D7046">
        <v>65</v>
      </c>
    </row>
    <row r="7047" spans="1:4" x14ac:dyDescent="0.25">
      <c r="A7047" t="str">
        <f>T("   845019")</f>
        <v xml:space="preserve">   845019</v>
      </c>
      <c r="B7047" t="str">
        <f>T("   Machines à laver le linge d'une capacité unitaire exprimée en poids de linge sec &lt;= 6 kg (à l'excl. des machines entièrement automatiques et des machines à laver le linge avec essoreuse centrifuge incorporée)")</f>
        <v xml:space="preserve">   Machines à laver le linge d'une capacité unitaire exprimée en poids de linge sec &lt;= 6 kg (à l'excl. des machines entièrement automatiques et des machines à laver le linge avec essoreuse centrifuge incorporée)</v>
      </c>
      <c r="C7047">
        <v>148720</v>
      </c>
      <c r="D7047">
        <v>120</v>
      </c>
    </row>
    <row r="7048" spans="1:4" x14ac:dyDescent="0.25">
      <c r="A7048" t="str">
        <f>T("   845121")</f>
        <v xml:space="preserve">   845121</v>
      </c>
      <c r="B7048" t="str">
        <f>T("   Machines à sécher, capacité unitaire en poids de linge sec &lt;= 10 kg (à l'excl. des essoreuses centrifuges)")</f>
        <v xml:space="preserve">   Machines à sécher, capacité unitaire en poids de linge sec &lt;= 10 kg (à l'excl. des essoreuses centrifuges)</v>
      </c>
      <c r="C7048">
        <v>1641920</v>
      </c>
      <c r="D7048">
        <v>704</v>
      </c>
    </row>
    <row r="7049" spans="1:4" x14ac:dyDescent="0.25">
      <c r="A7049" t="str">
        <f>T("   845210")</f>
        <v xml:space="preserve">   845210</v>
      </c>
      <c r="B7049" t="str">
        <f>T("   Machines à coudre de type ménager")</f>
        <v xml:space="preserve">   Machines à coudre de type ménager</v>
      </c>
      <c r="C7049">
        <v>421260</v>
      </c>
      <c r="D7049">
        <v>2756</v>
      </c>
    </row>
    <row r="7050" spans="1:4" x14ac:dyDescent="0.25">
      <c r="A7050" t="str">
        <f>T("   845229")</f>
        <v xml:space="preserve">   845229</v>
      </c>
      <c r="B7050" t="str">
        <f>T("   Machines à coudre de type industriel (sauf unités automatiques)")</f>
        <v xml:space="preserve">   Machines à coudre de type industriel (sauf unités automatiques)</v>
      </c>
      <c r="C7050">
        <v>487268</v>
      </c>
      <c r="D7050">
        <v>1684</v>
      </c>
    </row>
    <row r="7051" spans="1:4" x14ac:dyDescent="0.25">
      <c r="A7051" t="str">
        <f>T("   845490")</f>
        <v xml:space="preserve">   845490</v>
      </c>
      <c r="B7051" t="str">
        <f>T("   Parties de convertisseurs, poches de coulée, lingotière et machines simil. à couler -mouler- pour métallurgie, aciérie ou fonderie, n.d.a.")</f>
        <v xml:space="preserve">   Parties de convertisseurs, poches de coulée, lingotière et machines simil. à couler -mouler- pour métallurgie, aciérie ou fonderie, n.d.a.</v>
      </c>
      <c r="C7051">
        <v>1007555</v>
      </c>
      <c r="D7051">
        <v>9</v>
      </c>
    </row>
    <row r="7052" spans="1:4" x14ac:dyDescent="0.25">
      <c r="A7052" t="str">
        <f>T("   845522")</f>
        <v xml:space="preserve">   845522</v>
      </c>
      <c r="B7052" t="str">
        <f>T("   Laminoirs à métaux à froid (autres qu'à tubes)")</f>
        <v xml:space="preserve">   Laminoirs à métaux à froid (autres qu'à tubes)</v>
      </c>
      <c r="C7052">
        <v>225623150</v>
      </c>
      <c r="D7052">
        <v>26710</v>
      </c>
    </row>
    <row r="7053" spans="1:4" x14ac:dyDescent="0.25">
      <c r="A7053" t="str">
        <f>T("   845929")</f>
        <v xml:space="preserve">   845929</v>
      </c>
      <c r="B7053" t="s">
        <v>424</v>
      </c>
      <c r="C7053">
        <v>192196</v>
      </c>
      <c r="D7053">
        <v>384</v>
      </c>
    </row>
    <row r="7054" spans="1:4" x14ac:dyDescent="0.25">
      <c r="A7054" t="str">
        <f>T("   846239")</f>
        <v xml:space="preserve">   846239</v>
      </c>
      <c r="B7054" t="str">
        <f>T("   Machines, y.c. -les presses-, à cisailler, pour le travail des métaux (autres que les machines combinées à poinçonner et à cisailler et autres qu'à commande numérique)")</f>
        <v xml:space="preserve">   Machines, y.c. -les presses-, à cisailler, pour le travail des métaux (autres que les machines combinées à poinçonner et à cisailler et autres qu'à commande numérique)</v>
      </c>
      <c r="C7054">
        <v>3891947</v>
      </c>
      <c r="D7054">
        <v>4800</v>
      </c>
    </row>
    <row r="7055" spans="1:4" x14ac:dyDescent="0.25">
      <c r="A7055" t="str">
        <f>T("   846591")</f>
        <v xml:space="preserve">   846591</v>
      </c>
      <c r="B7055" t="str">
        <f>T("   Machines à scier, pour le travail du bois, des matières plastiques dures, etc. (autres que pour emploi à la main)")</f>
        <v xml:space="preserve">   Machines à scier, pour le travail du bois, des matières plastiques dures, etc. (autres que pour emploi à la main)</v>
      </c>
      <c r="C7055">
        <v>85275</v>
      </c>
      <c r="D7055">
        <v>1300</v>
      </c>
    </row>
    <row r="7056" spans="1:4" x14ac:dyDescent="0.25">
      <c r="A7056" t="str">
        <f>T("   846599")</f>
        <v xml:space="preserve">   846599</v>
      </c>
      <c r="B7056" t="s">
        <v>430</v>
      </c>
      <c r="C7056">
        <v>15215418</v>
      </c>
      <c r="D7056">
        <v>28222</v>
      </c>
    </row>
    <row r="7057" spans="1:4" x14ac:dyDescent="0.25">
      <c r="A7057" t="str">
        <f>T("   846694")</f>
        <v xml:space="preserve">   846694</v>
      </c>
      <c r="B7057" t="str">
        <f>T("   Parties et accessoires pour machines-outils pour le travail du métal avec enlèvement de matière, n.d.a.")</f>
        <v xml:space="preserve">   Parties et accessoires pour machines-outils pour le travail du métal avec enlèvement de matière, n.d.a.</v>
      </c>
      <c r="C7057">
        <v>5826768</v>
      </c>
      <c r="D7057">
        <v>227</v>
      </c>
    </row>
    <row r="7058" spans="1:4" x14ac:dyDescent="0.25">
      <c r="A7058" t="str">
        <f>T("   847110")</f>
        <v xml:space="preserve">   847110</v>
      </c>
      <c r="B7058" t="str">
        <f>T("   Machines automatiques de traitement de l'information, analogiques ou hybrides")</f>
        <v xml:space="preserve">   Machines automatiques de traitement de l'information, analogiques ou hybrides</v>
      </c>
      <c r="C7058">
        <v>157431</v>
      </c>
      <c r="D7058">
        <v>900</v>
      </c>
    </row>
    <row r="7059" spans="1:4" x14ac:dyDescent="0.25">
      <c r="A7059" t="str">
        <f>T("   847149")</f>
        <v xml:space="preserve">   847149</v>
      </c>
      <c r="B7059" t="s">
        <v>434</v>
      </c>
      <c r="C7059">
        <v>346788</v>
      </c>
      <c r="D7059">
        <v>865</v>
      </c>
    </row>
    <row r="7060" spans="1:4" x14ac:dyDescent="0.25">
      <c r="A7060" t="str">
        <f>T("   847190")</f>
        <v xml:space="preserve">   847190</v>
      </c>
      <c r="B7060"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7060">
        <v>4289627</v>
      </c>
      <c r="D7060">
        <v>6460.2</v>
      </c>
    </row>
    <row r="7061" spans="1:4" x14ac:dyDescent="0.25">
      <c r="A7061" t="str">
        <f>T("   847420")</f>
        <v xml:space="preserve">   847420</v>
      </c>
      <c r="B7061" t="str">
        <f>T("   Machines et appareils à concasser, broyer ou pulvériser les matières minérales solides")</f>
        <v xml:space="preserve">   Machines et appareils à concasser, broyer ou pulvériser les matières minérales solides</v>
      </c>
      <c r="C7061">
        <v>47082831</v>
      </c>
      <c r="D7061">
        <v>24202</v>
      </c>
    </row>
    <row r="7062" spans="1:4" x14ac:dyDescent="0.25">
      <c r="A7062" t="str">
        <f>T("   847431")</f>
        <v xml:space="preserve">   847431</v>
      </c>
      <c r="B7062" t="str">
        <f>T("   Bétonnières et appareils à gâcher le ciment (sauf montés sur wagons de chemins de fer ou sur châssis de véhicules automobiles)")</f>
        <v xml:space="preserve">   Bétonnières et appareils à gâcher le ciment (sauf montés sur wagons de chemins de fer ou sur châssis de véhicules automobiles)</v>
      </c>
      <c r="C7062">
        <v>30059895</v>
      </c>
      <c r="D7062">
        <v>28230</v>
      </c>
    </row>
    <row r="7063" spans="1:4" x14ac:dyDescent="0.25">
      <c r="A7063" t="str">
        <f>T("   847480")</f>
        <v xml:space="preserve">   847480</v>
      </c>
      <c r="B7063" t="s">
        <v>437</v>
      </c>
      <c r="C7063">
        <v>5893800</v>
      </c>
      <c r="D7063">
        <v>12800</v>
      </c>
    </row>
    <row r="7064" spans="1:4" x14ac:dyDescent="0.25">
      <c r="A7064" t="str">
        <f>T("   847490")</f>
        <v xml:space="preserve">   847490</v>
      </c>
      <c r="B7064" t="str">
        <f>T("   Parties des machines et appareils pour le travail des matières minérales du n° 8474, n.d.a.")</f>
        <v xml:space="preserve">   Parties des machines et appareils pour le travail des matières minérales du n° 8474, n.d.a.</v>
      </c>
      <c r="C7064">
        <v>1246324</v>
      </c>
      <c r="D7064">
        <v>17</v>
      </c>
    </row>
    <row r="7065" spans="1:4" x14ac:dyDescent="0.25">
      <c r="A7065" t="str">
        <f>T("   847689")</f>
        <v xml:space="preserve">   847689</v>
      </c>
      <c r="B7065" t="str">
        <f>T("   Machines automatiques de vente de produits, sans dispositif de chauffage ou de réfrigération et machines pour changer la monnaie (sauf machines automatiques de vente de boissons)")</f>
        <v xml:space="preserve">   Machines automatiques de vente de produits, sans dispositif de chauffage ou de réfrigération et machines pour changer la monnaie (sauf machines automatiques de vente de boissons)</v>
      </c>
      <c r="C7065">
        <v>1612350</v>
      </c>
      <c r="D7065">
        <v>2753</v>
      </c>
    </row>
    <row r="7066" spans="1:4" x14ac:dyDescent="0.25">
      <c r="A7066" t="str">
        <f>T("   847790")</f>
        <v xml:space="preserve">   847790</v>
      </c>
      <c r="B7066" t="str">
        <f>T("   Parties des machines et appareils pour le travail du caoutchouc ou des matières plastiques ou pour la fabrication de produits en ces matières, n.d.a.")</f>
        <v xml:space="preserve">   Parties des machines et appareils pour le travail du caoutchouc ou des matières plastiques ou pour la fabrication de produits en ces matières, n.d.a.</v>
      </c>
      <c r="C7066">
        <v>3533860</v>
      </c>
      <c r="D7066">
        <v>32</v>
      </c>
    </row>
    <row r="7067" spans="1:4" x14ac:dyDescent="0.25">
      <c r="A7067" t="str">
        <f>T("   847990")</f>
        <v xml:space="preserve">   847990</v>
      </c>
      <c r="B7067" t="str">
        <f>T("   Parties de machines et appareils, y.c. les appareils mécaniques, n.d.a.")</f>
        <v xml:space="preserve">   Parties de machines et appareils, y.c. les appareils mécaniques, n.d.a.</v>
      </c>
      <c r="C7067">
        <v>993779</v>
      </c>
      <c r="D7067">
        <v>14</v>
      </c>
    </row>
    <row r="7068" spans="1:4" x14ac:dyDescent="0.25">
      <c r="A7068" t="str">
        <f>T("   848120")</f>
        <v xml:space="preserve">   848120</v>
      </c>
      <c r="B7068" t="str">
        <f>T("   Valves pour transmissions oléohydrauliques ou pneumatiques")</f>
        <v xml:space="preserve">   Valves pour transmissions oléohydrauliques ou pneumatiques</v>
      </c>
      <c r="C7068">
        <v>78781</v>
      </c>
      <c r="D7068">
        <v>1</v>
      </c>
    </row>
    <row r="7069" spans="1:4" x14ac:dyDescent="0.25">
      <c r="A7069" t="str">
        <f>T("   848180")</f>
        <v xml:space="preserve">   848180</v>
      </c>
      <c r="B7069" t="str">
        <f>T("   Articles de robinetterie et organes simil. pour tuyauteries, etc. (à l'excl. des détendeurs, valves pour transmissions oléohydrauliques ou pneumatiques, clapets et soupapes de retenue et sauf soupapes de trop-plein ou de sûreté)")</f>
        <v xml:space="preserve">   Articles de robinetterie et organes simil. pour tuyauteries, etc. (à l'excl. des détendeurs, valves pour transmissions oléohydrauliques ou pneumatiques, clapets et soupapes de retenue et sauf soupapes de trop-plein ou de sûreté)</v>
      </c>
      <c r="C7069">
        <v>5289747</v>
      </c>
      <c r="D7069">
        <v>25327</v>
      </c>
    </row>
    <row r="7070" spans="1:4" x14ac:dyDescent="0.25">
      <c r="A7070" t="str">
        <f>T("   848190")</f>
        <v xml:space="preserve">   848190</v>
      </c>
      <c r="B7070" t="str">
        <f>T("   Parties d'articles de robinetterie et organes simil. pour tuyauterie, etc., n.d.a.")</f>
        <v xml:space="preserve">   Parties d'articles de robinetterie et organes simil. pour tuyauterie, etc., n.d.a.</v>
      </c>
      <c r="C7070">
        <v>40014</v>
      </c>
      <c r="D7070">
        <v>0.5</v>
      </c>
    </row>
    <row r="7071" spans="1:4" x14ac:dyDescent="0.25">
      <c r="A7071" t="str">
        <f>T("   848310")</f>
        <v xml:space="preserve">   848310</v>
      </c>
      <c r="B7071" t="str">
        <f>T("   Arbres de transmission pour machines, y.c. -les arbres à cames et les vilebrequins- et manivelles")</f>
        <v xml:space="preserve">   Arbres de transmission pour machines, y.c. -les arbres à cames et les vilebrequins- et manivelles</v>
      </c>
      <c r="C7071">
        <v>2021669</v>
      </c>
      <c r="D7071">
        <v>3</v>
      </c>
    </row>
    <row r="7072" spans="1:4" x14ac:dyDescent="0.25">
      <c r="A7072" t="str">
        <f>T("   848340")</f>
        <v xml:space="preserve">   848340</v>
      </c>
      <c r="B7072" t="s">
        <v>443</v>
      </c>
      <c r="C7072">
        <v>3284392</v>
      </c>
      <c r="D7072">
        <v>20.9</v>
      </c>
    </row>
    <row r="7073" spans="1:4" x14ac:dyDescent="0.25">
      <c r="A7073" t="str">
        <f>T("   848390")</f>
        <v xml:space="preserve">   848390</v>
      </c>
      <c r="B7073" t="str">
        <f>T("   Roues dentées et autres organes élémentaires de transmission présentés séparément; parties d'organes mécaniques, d'organes de transmission, d'engrenages, de variateurs de vitesses, d'organes d'accouplement et d'autres organes du n° 8483, n.d.a.")</f>
        <v xml:space="preserve">   Roues dentées et autres organes élémentaires de transmission présentés séparément; parties d'organes mécaniques, d'organes de transmission, d'engrenages, de variateurs de vitesses, d'organes d'accouplement et d'autres organes du n° 8483, n.d.a.</v>
      </c>
      <c r="C7073">
        <v>7094732</v>
      </c>
      <c r="D7073">
        <v>125</v>
      </c>
    </row>
    <row r="7074" spans="1:4" x14ac:dyDescent="0.25">
      <c r="A7074" t="str">
        <f>T("   850133")</f>
        <v xml:space="preserve">   850133</v>
      </c>
      <c r="B7074" t="str">
        <f>T("   Moteurs et génératrices à courant continu, puissance &gt; 75 kW mais &lt;= 375 kW")</f>
        <v xml:space="preserve">   Moteurs et génératrices à courant continu, puissance &gt; 75 kW mais &lt;= 375 kW</v>
      </c>
      <c r="C7074">
        <v>770373</v>
      </c>
      <c r="D7074">
        <v>978</v>
      </c>
    </row>
    <row r="7075" spans="1:4" x14ac:dyDescent="0.25">
      <c r="A7075" t="str">
        <f>T("   850140")</f>
        <v xml:space="preserve">   850140</v>
      </c>
      <c r="B7075" t="str">
        <f>T("   Moteurs à courant alternatif, monophasés")</f>
        <v xml:space="preserve">   Moteurs à courant alternatif, monophasés</v>
      </c>
      <c r="C7075">
        <v>20086960</v>
      </c>
      <c r="D7075">
        <v>4951</v>
      </c>
    </row>
    <row r="7076" spans="1:4" x14ac:dyDescent="0.25">
      <c r="A7076" t="str">
        <f>T("   850211")</f>
        <v xml:space="preserve">   850211</v>
      </c>
      <c r="B7076" t="s">
        <v>444</v>
      </c>
      <c r="C7076">
        <v>79431804</v>
      </c>
      <c r="D7076">
        <v>24396</v>
      </c>
    </row>
    <row r="7077" spans="1:4" x14ac:dyDescent="0.25">
      <c r="A7077" t="str">
        <f>T("   850213")</f>
        <v xml:space="preserve">   850213</v>
      </c>
      <c r="B7077" t="s">
        <v>445</v>
      </c>
      <c r="C7077">
        <v>54560372</v>
      </c>
      <c r="D7077">
        <v>7580</v>
      </c>
    </row>
    <row r="7078" spans="1:4" x14ac:dyDescent="0.25">
      <c r="A7078" t="str">
        <f>T("   850239")</f>
        <v xml:space="preserve">   850239</v>
      </c>
      <c r="B7078" t="str">
        <f>T("   Groupes électrogènes (autres qu'à énergie éolienne et à moteurs à piston)")</f>
        <v xml:space="preserve">   Groupes électrogènes (autres qu'à énergie éolienne et à moteurs à piston)</v>
      </c>
      <c r="C7078">
        <v>23659459</v>
      </c>
      <c r="D7078">
        <v>12880</v>
      </c>
    </row>
    <row r="7079" spans="1:4" x14ac:dyDescent="0.25">
      <c r="A7079" t="str">
        <f>T("   850240")</f>
        <v xml:space="preserve">   850240</v>
      </c>
      <c r="B7079" t="str">
        <f>T("   Convertisseurs rotatifs électriques")</f>
        <v xml:space="preserve">   Convertisseurs rotatifs électriques</v>
      </c>
      <c r="C7079">
        <v>25200015</v>
      </c>
      <c r="D7079">
        <v>10250</v>
      </c>
    </row>
    <row r="7080" spans="1:4" x14ac:dyDescent="0.25">
      <c r="A7080" t="str">
        <f>T("   850300")</f>
        <v xml:space="preserve">   850300</v>
      </c>
      <c r="B7080" t="str">
        <f>T("   Parties reconnaissables comme étant exclusivement ou principalement destinées aux moteurs et machines génératrices électriques, groupes électrogènes ou convertisseurs rotatifs électriques n.d.a.")</f>
        <v xml:space="preserve">   Parties reconnaissables comme étant exclusivement ou principalement destinées aux moteurs et machines génératrices électriques, groupes électrogènes ou convertisseurs rotatifs électriques n.d.a.</v>
      </c>
      <c r="C7080">
        <v>1017735</v>
      </c>
      <c r="D7080">
        <v>5905</v>
      </c>
    </row>
    <row r="7081" spans="1:4" x14ac:dyDescent="0.25">
      <c r="A7081" t="str">
        <f>T("   850433")</f>
        <v xml:space="preserve">   850433</v>
      </c>
      <c r="B7081" t="str">
        <f>T("   Transformateurs à sec, puissance &gt; 16 kVA mais &lt;= 500 kVA")</f>
        <v xml:space="preserve">   Transformateurs à sec, puissance &gt; 16 kVA mais &lt;= 500 kVA</v>
      </c>
      <c r="C7081">
        <v>54449710</v>
      </c>
      <c r="D7081">
        <v>8010</v>
      </c>
    </row>
    <row r="7082" spans="1:4" x14ac:dyDescent="0.25">
      <c r="A7082" t="str">
        <f>T("   850440")</f>
        <v xml:space="preserve">   850440</v>
      </c>
      <c r="B7082" t="str">
        <f>T("   CONVERTISSEURS STATIQUES")</f>
        <v xml:space="preserve">   CONVERTISSEURS STATIQUES</v>
      </c>
      <c r="C7082">
        <v>1502943</v>
      </c>
      <c r="D7082">
        <v>539</v>
      </c>
    </row>
    <row r="7083" spans="1:4" x14ac:dyDescent="0.25">
      <c r="A7083" t="str">
        <f>T("   850710")</f>
        <v xml:space="preserve">   850710</v>
      </c>
      <c r="B7083" t="str">
        <f>T("   Accumulateurs au plomb, pour le démarrage des moteurs à piston (sauf hors d'usage)")</f>
        <v xml:space="preserve">   Accumulateurs au plomb, pour le démarrage des moteurs à piston (sauf hors d'usage)</v>
      </c>
      <c r="C7083">
        <v>116505</v>
      </c>
      <c r="D7083">
        <v>4</v>
      </c>
    </row>
    <row r="7084" spans="1:4" x14ac:dyDescent="0.25">
      <c r="A7084" t="str">
        <f>T("   850780")</f>
        <v xml:space="preserve">   850780</v>
      </c>
      <c r="B7084" t="str">
        <f>T("   Accumulateurs électriques (sauf hors d'usage et autres qu'au plomb, au nickel-cadmium ou au nickel-fer)")</f>
        <v xml:space="preserve">   Accumulateurs électriques (sauf hors d'usage et autres qu'au plomb, au nickel-cadmium ou au nickel-fer)</v>
      </c>
      <c r="C7084">
        <v>6524834</v>
      </c>
      <c r="D7084">
        <v>11044</v>
      </c>
    </row>
    <row r="7085" spans="1:4" x14ac:dyDescent="0.25">
      <c r="A7085" t="str">
        <f>T("   850980")</f>
        <v xml:space="preserve">   850980</v>
      </c>
      <c r="B7085" t="s">
        <v>447</v>
      </c>
      <c r="C7085">
        <v>1063000</v>
      </c>
      <c r="D7085">
        <v>1830</v>
      </c>
    </row>
    <row r="7086" spans="1:4" x14ac:dyDescent="0.25">
      <c r="A7086" t="str">
        <f>T("   851310")</f>
        <v xml:space="preserve">   851310</v>
      </c>
      <c r="B7086" t="str">
        <f>T("   Lampes électriques portatives, destinées à fonctionner au moyen de leur propre source d'énergie")</f>
        <v xml:space="preserve">   Lampes électriques portatives, destinées à fonctionner au moyen de leur propre source d'énergie</v>
      </c>
      <c r="C7086">
        <v>1653758</v>
      </c>
      <c r="D7086">
        <v>2100</v>
      </c>
    </row>
    <row r="7087" spans="1:4" x14ac:dyDescent="0.25">
      <c r="A7087" t="str">
        <f>T("   851430")</f>
        <v xml:space="preserve">   851430</v>
      </c>
      <c r="B7087" t="str">
        <f>T("   Fours électriques industriels ou de laboratoires (autres que les fours à résistance, à chauffage indirect, les fours fonctionnant par induction ou par perte diélectrique et les étuves)")</f>
        <v xml:space="preserve">   Fours électriques industriels ou de laboratoires (autres que les fours à résistance, à chauffage indirect, les fours fonctionnant par induction ou par perte diélectrique et les étuves)</v>
      </c>
      <c r="C7087">
        <v>335852</v>
      </c>
      <c r="D7087">
        <v>100</v>
      </c>
    </row>
    <row r="7088" spans="1:4" x14ac:dyDescent="0.25">
      <c r="A7088" t="str">
        <f>T("   851580")</f>
        <v xml:space="preserve">   851580</v>
      </c>
      <c r="B7088" t="s">
        <v>450</v>
      </c>
      <c r="C7088">
        <v>11050302</v>
      </c>
      <c r="D7088">
        <v>1203</v>
      </c>
    </row>
    <row r="7089" spans="1:4" x14ac:dyDescent="0.25">
      <c r="A7089" t="str">
        <f>T("   851610")</f>
        <v xml:space="preserve">   851610</v>
      </c>
      <c r="B7089" t="str">
        <f>T("   Chauffe-eau et thermoplongeurs électriques")</f>
        <v xml:space="preserve">   Chauffe-eau et thermoplongeurs électriques</v>
      </c>
      <c r="C7089">
        <v>1440397</v>
      </c>
      <c r="D7089">
        <v>940</v>
      </c>
    </row>
    <row r="7090" spans="1:4" x14ac:dyDescent="0.25">
      <c r="A7090" t="str">
        <f>T("   851660")</f>
        <v xml:space="preserve">   851660</v>
      </c>
      <c r="B7090" t="str">
        <f>T("   Fours, cuisinières, réchauds, tables de cuisson, grils et rôtissoires électriques, pour usages domestiques (sauf fours destinés au chauffage des locaux et fours à micro-ondes)")</f>
        <v xml:space="preserve">   Fours, cuisinières, réchauds, tables de cuisson, grils et rôtissoires électriques, pour usages domestiques (sauf fours destinés au chauffage des locaux et fours à micro-ondes)</v>
      </c>
      <c r="C7090">
        <v>30399308</v>
      </c>
      <c r="D7090">
        <v>26178</v>
      </c>
    </row>
    <row r="7091" spans="1:4" x14ac:dyDescent="0.25">
      <c r="A7091" t="str">
        <f>T("   851679")</f>
        <v xml:space="preserve">   851679</v>
      </c>
      <c r="B7091" t="s">
        <v>451</v>
      </c>
      <c r="C7091">
        <v>1550430</v>
      </c>
      <c r="D7091">
        <v>8510</v>
      </c>
    </row>
    <row r="7092" spans="1:4" x14ac:dyDescent="0.25">
      <c r="A7092" t="str">
        <f>T("   852390")</f>
        <v xml:space="preserve">   852390</v>
      </c>
      <c r="B7092" t="str">
        <f>T("   SUPPORTS PRÉPARÉS POUR L'ENREGISTREMENT DU SON OU POUR ENREGISTREMENTS ANALOGUES, NON-ENREGISTRÉS (AUTRES QUE BANDES ET DISQUES MAGNÉTIQUES, CARTES MUNIES D'UNE PISTE MAGNÉTIQUE ET PRODUITS DU CHAPITRE 37)")</f>
        <v xml:space="preserve">   SUPPORTS PRÉPARÉS POUR L'ENREGISTREMENT DU SON OU POUR ENREGISTREMENTS ANALOGUES, NON-ENREGISTRÉS (AUTRES QUE BANDES ET DISQUES MAGNÉTIQUES, CARTES MUNIES D'UNE PISTE MAGNÉTIQUE ET PRODUITS DU CHAPITRE 37)</v>
      </c>
      <c r="C7092">
        <v>203883</v>
      </c>
      <c r="D7092">
        <v>20</v>
      </c>
    </row>
    <row r="7093" spans="1:4" x14ac:dyDescent="0.25">
      <c r="A7093" t="str">
        <f>T("   852439")</f>
        <v xml:space="preserve">   852439</v>
      </c>
      <c r="B7093" t="str">
        <f>T("   Disques enregistrés pour systèmes de lecture optique par faisceau laser, pour la reproduction du son et de l'image ou de l'image uniquement")</f>
        <v xml:space="preserve">   Disques enregistrés pour systèmes de lecture optique par faisceau laser, pour la reproduction du son et de l'image ou de l'image uniquement</v>
      </c>
      <c r="C7093">
        <v>1050000</v>
      </c>
      <c r="D7093">
        <v>400</v>
      </c>
    </row>
    <row r="7094" spans="1:4" x14ac:dyDescent="0.25">
      <c r="A7094" t="str">
        <f>T("   852510")</f>
        <v xml:space="preserve">   852510</v>
      </c>
      <c r="B7094" t="str">
        <f>T("   Appareils d'émission, pour la radiotéléphonie, la radiotélégraphie, la radiodiffusion ou la télévision")</f>
        <v xml:space="preserve">   Appareils d'émission, pour la radiotéléphonie, la radiotélégraphie, la radiodiffusion ou la télévision</v>
      </c>
      <c r="C7094">
        <v>2307011</v>
      </c>
      <c r="D7094">
        <v>1025</v>
      </c>
    </row>
    <row r="7095" spans="1:4" x14ac:dyDescent="0.25">
      <c r="A7095" t="str">
        <f>T("   852713")</f>
        <v xml:space="preserve">   852713</v>
      </c>
      <c r="B7095" t="str">
        <f>T("   RÉCEPTEURS DE RADIODIFFUSION POUVANT FONCTIONNER SANS SOURCE D'ÉNERGIE EXTÉRIEURE, COMBINÉS À UN APPAREIL D'ENREGISTREMENT OU DE REPRODUCTION DU SON (À L'EXCL. DES RADIOCASSETTES DE POCHE)")</f>
        <v xml:space="preserve">   RÉCEPTEURS DE RADIODIFFUSION POUVANT FONCTIONNER SANS SOURCE D'ÉNERGIE EXTÉRIEURE, COMBINÉS À UN APPAREIL D'ENREGISTREMENT OU DE REPRODUCTION DU SON (À L'EXCL. DES RADIOCASSETTES DE POCHE)</v>
      </c>
      <c r="C7095">
        <v>957047</v>
      </c>
      <c r="D7095">
        <v>1931</v>
      </c>
    </row>
    <row r="7096" spans="1:4" x14ac:dyDescent="0.25">
      <c r="A7096" t="str">
        <f>T("   852812")</f>
        <v xml:space="preserve">   852812</v>
      </c>
      <c r="B7096"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7096">
        <v>9049323</v>
      </c>
      <c r="D7096">
        <v>9913</v>
      </c>
    </row>
    <row r="7097" spans="1:4" x14ac:dyDescent="0.25">
      <c r="A7097" t="str">
        <f>T("   853690")</f>
        <v xml:space="preserve">   853690</v>
      </c>
      <c r="B7097" t="s">
        <v>469</v>
      </c>
      <c r="C7097">
        <v>10466310</v>
      </c>
      <c r="D7097">
        <v>4992</v>
      </c>
    </row>
    <row r="7098" spans="1:4" x14ac:dyDescent="0.25">
      <c r="A7098" t="str">
        <f>T("   853720")</f>
        <v xml:space="preserve">   853720</v>
      </c>
      <c r="B7098" t="str">
        <f>T("   Tableaux, armoires et combinaisons d'appareils simil., pour la commande ou la distribution électrique, pour une tension &gt; 1.000 V")</f>
        <v xml:space="preserve">   Tableaux, armoires et combinaisons d'appareils simil., pour la commande ou la distribution électrique, pour une tension &gt; 1.000 V</v>
      </c>
      <c r="C7098">
        <v>4495962</v>
      </c>
      <c r="D7098">
        <v>3140</v>
      </c>
    </row>
    <row r="7099" spans="1:4" x14ac:dyDescent="0.25">
      <c r="A7099" t="str">
        <f>T("   853890")</f>
        <v xml:space="preserve">   853890</v>
      </c>
      <c r="B7099" t="s">
        <v>470</v>
      </c>
      <c r="C7099">
        <v>1100701</v>
      </c>
      <c r="D7099">
        <v>997</v>
      </c>
    </row>
    <row r="7100" spans="1:4" x14ac:dyDescent="0.25">
      <c r="A7100" t="str">
        <f>T("   853929")</f>
        <v xml:space="preserve">   853929</v>
      </c>
      <c r="B7100" t="str">
        <f>T("   Lampes et tubes à incandescence électriques (autres que lampes et tubes halogènes, au tungstène, lampes d'une puissance &lt;= 200 W et pour une tension &gt; 100 V, et lampes à rayons ultraviolets ou infrarouges)")</f>
        <v xml:space="preserve">   Lampes et tubes à incandescence électriques (autres que lampes et tubes halogènes, au tungstène, lampes d'une puissance &lt;= 200 W et pour une tension &gt; 100 V, et lampes à rayons ultraviolets ou infrarouges)</v>
      </c>
      <c r="C7100">
        <v>335852</v>
      </c>
      <c r="D7100">
        <v>53</v>
      </c>
    </row>
    <row r="7101" spans="1:4" x14ac:dyDescent="0.25">
      <c r="A7101" t="str">
        <f>T("   854449")</f>
        <v xml:space="preserve">   854449</v>
      </c>
      <c r="B7101" t="str">
        <f>T("   CONDUCTEURS ÉLECTRIQUES, POUR TENSION &lt;= 1.000 V, ISOLÉS, SANS PIÈCES DE CONNEXION, N.D.A.")</f>
        <v xml:space="preserve">   CONDUCTEURS ÉLECTRIQUES, POUR TENSION &lt;= 1.000 V, ISOLÉS, SANS PIÈCES DE CONNEXION, N.D.A.</v>
      </c>
      <c r="C7101">
        <v>69468</v>
      </c>
      <c r="D7101">
        <v>40</v>
      </c>
    </row>
    <row r="7102" spans="1:4" x14ac:dyDescent="0.25">
      <c r="A7102" t="str">
        <f>T("   854790")</f>
        <v xml:space="preserve">   854790</v>
      </c>
      <c r="B7102" t="str">
        <f>T("   Pièces isolantes, pour usages électriques (autres qu'en céramique ou en matières plastiques, et que tubes isolateurs et leurs pièces de raccordement, en métaux communs, isolés intérieurement)")</f>
        <v xml:space="preserve">   Pièces isolantes, pour usages électriques (autres qu'en céramique ou en matières plastiques, et que tubes isolateurs et leurs pièces de raccordement, en métaux communs, isolés intérieurement)</v>
      </c>
      <c r="C7102">
        <v>1193847</v>
      </c>
      <c r="D7102">
        <v>2.7</v>
      </c>
    </row>
    <row r="7103" spans="1:4" x14ac:dyDescent="0.25">
      <c r="A7103" t="str">
        <f>T("   870120")</f>
        <v xml:space="preserve">   870120</v>
      </c>
      <c r="B7103" t="str">
        <f>T("   Tracteurs routiers pour semi-remorques")</f>
        <v xml:space="preserve">   Tracteurs routiers pour semi-remorques</v>
      </c>
      <c r="C7103">
        <v>57897104</v>
      </c>
      <c r="D7103">
        <v>159323</v>
      </c>
    </row>
    <row r="7104" spans="1:4" x14ac:dyDescent="0.25">
      <c r="A7104" t="str">
        <f>T("   870190")</f>
        <v xml:space="preserve">   870190</v>
      </c>
      <c r="B7104" t="str">
        <f>T("   Tracteurs (à l'excl. des chariots-tracteurs du n° 8709, ainsi que des motoculteurs, tracteurs routiers pour semi-remorques et tracteurs à chenilles)")</f>
        <v xml:space="preserve">   Tracteurs (à l'excl. des chariots-tracteurs du n° 8709, ainsi que des motoculteurs, tracteurs routiers pour semi-remorques et tracteurs à chenilles)</v>
      </c>
      <c r="C7104">
        <v>3698710</v>
      </c>
      <c r="D7104">
        <v>11370</v>
      </c>
    </row>
    <row r="7105" spans="1:4" x14ac:dyDescent="0.25">
      <c r="A7105" t="str">
        <f>T("   870210")</f>
        <v xml:space="preserve">   870210</v>
      </c>
      <c r="B7105" t="s">
        <v>472</v>
      </c>
      <c r="C7105">
        <v>3600256</v>
      </c>
      <c r="D7105">
        <v>7161</v>
      </c>
    </row>
    <row r="7106" spans="1:4" x14ac:dyDescent="0.25">
      <c r="A7106" t="str">
        <f>T("   870290")</f>
        <v xml:space="preserve">   870290</v>
      </c>
      <c r="B7106" t="s">
        <v>473</v>
      </c>
      <c r="C7106">
        <v>6000000</v>
      </c>
      <c r="D7106">
        <v>11400</v>
      </c>
    </row>
    <row r="7107" spans="1:4" x14ac:dyDescent="0.25">
      <c r="A7107" t="str">
        <f>T("   870322")</f>
        <v xml:space="preserve">   870322</v>
      </c>
      <c r="B7107" t="s">
        <v>475</v>
      </c>
      <c r="C7107">
        <v>150668217</v>
      </c>
      <c r="D7107">
        <v>147206</v>
      </c>
    </row>
    <row r="7108" spans="1:4" x14ac:dyDescent="0.25">
      <c r="A7108" t="str">
        <f>T("   870323")</f>
        <v xml:space="preserve">   870323</v>
      </c>
      <c r="B7108" t="s">
        <v>476</v>
      </c>
      <c r="C7108">
        <v>21198305</v>
      </c>
      <c r="D7108">
        <v>19098</v>
      </c>
    </row>
    <row r="7109" spans="1:4" x14ac:dyDescent="0.25">
      <c r="A7109" t="str">
        <f>T("   870333")</f>
        <v xml:space="preserve">   870333</v>
      </c>
      <c r="B7109" t="s">
        <v>480</v>
      </c>
      <c r="C7109">
        <v>1200000</v>
      </c>
      <c r="D7109">
        <v>2800</v>
      </c>
    </row>
    <row r="7110" spans="1:4" x14ac:dyDescent="0.25">
      <c r="A7110" t="str">
        <f>T("   870421")</f>
        <v xml:space="preserve">   870421</v>
      </c>
      <c r="B7110" t="s">
        <v>481</v>
      </c>
      <c r="C7110">
        <v>28770743</v>
      </c>
      <c r="D7110">
        <v>30099</v>
      </c>
    </row>
    <row r="7111" spans="1:4" x14ac:dyDescent="0.25">
      <c r="A7111" t="str">
        <f>T("   870422")</f>
        <v xml:space="preserve">   870422</v>
      </c>
      <c r="B7111" t="s">
        <v>482</v>
      </c>
      <c r="C7111">
        <v>10000000</v>
      </c>
      <c r="D7111">
        <v>38455</v>
      </c>
    </row>
    <row r="7112" spans="1:4" x14ac:dyDescent="0.25">
      <c r="A7112" t="str">
        <f>T("   870431")</f>
        <v xml:space="preserve">   870431</v>
      </c>
      <c r="B7112" t="s">
        <v>484</v>
      </c>
      <c r="C7112">
        <v>4800000</v>
      </c>
      <c r="D7112">
        <v>9300</v>
      </c>
    </row>
    <row r="7113" spans="1:4" x14ac:dyDescent="0.25">
      <c r="A7113" t="str">
        <f>T("   870870")</f>
        <v xml:space="preserve">   870870</v>
      </c>
      <c r="B7113" t="str">
        <f>T("   ROUES, LEURS PARTIES ET ACCESSOIRES POUR TRACTEURS, VÉHICULES POUR LE TRANSPORT DE &gt;= 10 PERSONNES, CHAUFFEUR INCLUS, VOITURES DE TOURISME, VÉHICULES POUR LE TRANSPORT DE MARCHANDISES ET VÉHICULES À USAGES SPÉCIAUX, N.D.A.")</f>
        <v xml:space="preserve">   ROUES, LEURS PARTIES ET ACCESSOIRES POUR TRACTEURS, VÉHICULES POUR LE TRANSPORT DE &gt;= 10 PERSONNES, CHAUFFEUR INCLUS, VOITURES DE TOURISME, VÉHICULES POUR LE TRANSPORT DE MARCHANDISES ET VÉHICULES À USAGES SPÉCIAUX, N.D.A.</v>
      </c>
      <c r="C7113">
        <v>133816</v>
      </c>
      <c r="D7113">
        <v>200</v>
      </c>
    </row>
    <row r="7114" spans="1:4" x14ac:dyDescent="0.25">
      <c r="A7114" t="str">
        <f>T("   870899")</f>
        <v xml:space="preserve">   870899</v>
      </c>
      <c r="B7114"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7114">
        <v>881792</v>
      </c>
      <c r="D7114">
        <v>612.5</v>
      </c>
    </row>
    <row r="7115" spans="1:4" x14ac:dyDescent="0.25">
      <c r="A7115" t="str">
        <f>T("   871110")</f>
        <v xml:space="preserve">   871110</v>
      </c>
      <c r="B7115" t="str">
        <f>T("   Cyclomoteurs, à moteur à piston alternatif, cylindrée &lt;= 50 cm³, y.c. cycles à moteur auxiliaire")</f>
        <v xml:space="preserve">   Cyclomoteurs, à moteur à piston alternatif, cylindrée &lt;= 50 cm³, y.c. cycles à moteur auxiliaire</v>
      </c>
      <c r="C7115">
        <v>3687427</v>
      </c>
      <c r="D7115">
        <v>6645</v>
      </c>
    </row>
    <row r="7116" spans="1:4" x14ac:dyDescent="0.25">
      <c r="A7116" t="str">
        <f>T("   871120")</f>
        <v xml:space="preserve">   871120</v>
      </c>
      <c r="B7116" t="str">
        <f>T("   Motocycles à moteur à piston alternatif, cylindrée &gt; 50 cm³ mais &lt;= 250 cm³")</f>
        <v xml:space="preserve">   Motocycles à moteur à piston alternatif, cylindrée &gt; 50 cm³ mais &lt;= 250 cm³</v>
      </c>
      <c r="C7116">
        <v>4697605</v>
      </c>
      <c r="D7116">
        <v>8518</v>
      </c>
    </row>
    <row r="7117" spans="1:4" x14ac:dyDescent="0.25">
      <c r="A7117" t="str">
        <f>T("   871190")</f>
        <v xml:space="preserve">   871190</v>
      </c>
      <c r="B7117" t="str">
        <f>T("   Side-cars")</f>
        <v xml:space="preserve">   Side-cars</v>
      </c>
      <c r="C7117">
        <v>1113715</v>
      </c>
      <c r="D7117">
        <v>6000</v>
      </c>
    </row>
    <row r="7118" spans="1:4" x14ac:dyDescent="0.25">
      <c r="A7118" t="str">
        <f>T("   871200")</f>
        <v xml:space="preserve">   871200</v>
      </c>
      <c r="B7118" t="str">
        <f>T("   BICYCLETTES ET AUTRES CYCLES, -Y.C. LES TRIPORTEURS-, SANS MOTEUR")</f>
        <v xml:space="preserve">   BICYCLETTES ET AUTRES CYCLES, -Y.C. LES TRIPORTEURS-, SANS MOTEUR</v>
      </c>
      <c r="C7118">
        <v>2542309</v>
      </c>
      <c r="D7118">
        <v>6993</v>
      </c>
    </row>
    <row r="7119" spans="1:4" x14ac:dyDescent="0.25">
      <c r="A7119" t="str">
        <f>T("   871500")</f>
        <v xml:space="preserve">   871500</v>
      </c>
      <c r="B7119" t="str">
        <f>T("   Landaus, poussettes et voitures simil., pour le transport des enfants, et leurs parties, n.d.a.")</f>
        <v xml:space="preserve">   Landaus, poussettes et voitures simil., pour le transport des enfants, et leurs parties, n.d.a.</v>
      </c>
      <c r="C7119">
        <v>713070</v>
      </c>
      <c r="D7119">
        <v>202</v>
      </c>
    </row>
    <row r="7120" spans="1:4" x14ac:dyDescent="0.25">
      <c r="A7120" t="str">
        <f>T("   871640")</f>
        <v xml:space="preserve">   871640</v>
      </c>
      <c r="B7120" t="str">
        <f>T("   Remorques ne circulant pas sur rails (à l'excl. des remorques pour le transport de marchandises et remorques pour l'habitation ou le camping, du type caravane)")</f>
        <v xml:space="preserve">   Remorques ne circulant pas sur rails (à l'excl. des remorques pour le transport de marchandises et remorques pour l'habitation ou le camping, du type caravane)</v>
      </c>
      <c r="C7120">
        <v>26804278</v>
      </c>
      <c r="D7120">
        <v>64466</v>
      </c>
    </row>
    <row r="7121" spans="1:4" x14ac:dyDescent="0.25">
      <c r="A7121" t="str">
        <f>T("   900410")</f>
        <v xml:space="preserve">   900410</v>
      </c>
      <c r="B7121" t="str">
        <f>T("   Lunettes solaires")</f>
        <v xml:space="preserve">   Lunettes solaires</v>
      </c>
      <c r="C7121">
        <v>41224</v>
      </c>
      <c r="D7121">
        <v>80</v>
      </c>
    </row>
    <row r="7122" spans="1:4" x14ac:dyDescent="0.25">
      <c r="A7122" t="str">
        <f>T("   900921")</f>
        <v xml:space="preserve">   900921</v>
      </c>
      <c r="B7122" t="str">
        <f>T("   Appareils de photocopie à système optique (autres qu'électrostatiques)")</f>
        <v xml:space="preserve">   Appareils de photocopie à système optique (autres qu'électrostatiques)</v>
      </c>
      <c r="C7122">
        <v>331260</v>
      </c>
      <c r="D7122">
        <v>500</v>
      </c>
    </row>
    <row r="7123" spans="1:4" x14ac:dyDescent="0.25">
      <c r="A7123" t="str">
        <f>T("   901890")</f>
        <v xml:space="preserve">   901890</v>
      </c>
      <c r="B7123" t="str">
        <f>T("   Instruments et appareils pour la médecine, la chirurgie ou l'art vétérinaire, n.d.a.")</f>
        <v xml:space="preserve">   Instruments et appareils pour la médecine, la chirurgie ou l'art vétérinaire, n.d.a.</v>
      </c>
      <c r="C7123">
        <v>14847792</v>
      </c>
      <c r="D7123">
        <v>4314</v>
      </c>
    </row>
    <row r="7124" spans="1:4" x14ac:dyDescent="0.25">
      <c r="A7124" t="str">
        <f>T("   902129")</f>
        <v xml:space="preserve">   902129</v>
      </c>
      <c r="B7124" t="str">
        <f>T("   Articles et appareils de prothèse dentaire (sauf dents artificielles)")</f>
        <v xml:space="preserve">   Articles et appareils de prothèse dentaire (sauf dents artificielles)</v>
      </c>
      <c r="C7124">
        <v>2701389</v>
      </c>
      <c r="D7124">
        <v>382</v>
      </c>
    </row>
    <row r="7125" spans="1:4" x14ac:dyDescent="0.25">
      <c r="A7125" t="str">
        <f>T("   902190")</f>
        <v xml:space="preserve">   902190</v>
      </c>
      <c r="B7125" t="s">
        <v>498</v>
      </c>
      <c r="C7125">
        <v>500000</v>
      </c>
      <c r="D7125">
        <v>6000</v>
      </c>
    </row>
    <row r="7126" spans="1:4" x14ac:dyDescent="0.25">
      <c r="A7126" t="str">
        <f>T("   902219")</f>
        <v xml:space="preserve">   902219</v>
      </c>
      <c r="B7126" t="str">
        <f>T("   Appareils à rayons X (à usage autre que médical, chirurgical, dentaire ou vétérinaire)")</f>
        <v xml:space="preserve">   Appareils à rayons X (à usage autre que médical, chirurgical, dentaire ou vétérinaire)</v>
      </c>
      <c r="C7126">
        <v>357498</v>
      </c>
      <c r="D7126">
        <v>4445</v>
      </c>
    </row>
    <row r="7127" spans="1:4" x14ac:dyDescent="0.25">
      <c r="A7127" t="str">
        <f>T("   902290")</f>
        <v xml:space="preserve">   902290</v>
      </c>
      <c r="B7127" t="s">
        <v>499</v>
      </c>
      <c r="C7127">
        <v>5000000</v>
      </c>
      <c r="D7127">
        <v>3600</v>
      </c>
    </row>
    <row r="7128" spans="1:4" x14ac:dyDescent="0.25">
      <c r="A7128" t="str">
        <f>T("   902610")</f>
        <v xml:space="preserve">   902610</v>
      </c>
      <c r="B7128" t="str">
        <f>T("   Instruments et appareils pour la mesure ou le contrôle du débit ou du niveau des liquides (à l'excl. des compteurs et des instruments et appareils pour la régulation ou le contrôle automatiques)")</f>
        <v xml:space="preserve">   Instruments et appareils pour la mesure ou le contrôle du débit ou du niveau des liquides (à l'excl. des compteurs et des instruments et appareils pour la régulation ou le contrôle automatiques)</v>
      </c>
      <c r="C7128">
        <v>384883</v>
      </c>
      <c r="D7128">
        <v>10</v>
      </c>
    </row>
    <row r="7129" spans="1:4" x14ac:dyDescent="0.25">
      <c r="A7129" t="str">
        <f>T("   902620")</f>
        <v xml:space="preserve">   902620</v>
      </c>
      <c r="B7129" t="str">
        <f>T("   Instruments et appareils pour la mesure ou le contrôle de la pression des liquides ou des gaz (à l'excl. des instruments et appareils pour la régulation ou le contrôle automatiques)")</f>
        <v xml:space="preserve">   Instruments et appareils pour la mesure ou le contrôle de la pression des liquides ou des gaz (à l'excl. des instruments et appareils pour la régulation ou le contrôle automatiques)</v>
      </c>
      <c r="C7129">
        <v>89867</v>
      </c>
      <c r="D7129">
        <v>0.5</v>
      </c>
    </row>
    <row r="7130" spans="1:4" x14ac:dyDescent="0.25">
      <c r="A7130" t="str">
        <f>T("   903289")</f>
        <v xml:space="preserve">   903289</v>
      </c>
      <c r="B7130" t="s">
        <v>503</v>
      </c>
      <c r="C7130">
        <v>8604228</v>
      </c>
      <c r="D7130">
        <v>1130</v>
      </c>
    </row>
    <row r="7131" spans="1:4" x14ac:dyDescent="0.25">
      <c r="A7131" t="str">
        <f>T("   920790")</f>
        <v xml:space="preserve">   920790</v>
      </c>
      <c r="B7131" t="str">
        <f>T("   Accordéons électriques et autres instruments de musique électriques")</f>
        <v xml:space="preserve">   Accordéons électriques et autres instruments de musique électriques</v>
      </c>
      <c r="C7131">
        <v>613388</v>
      </c>
      <c r="D7131">
        <v>200</v>
      </c>
    </row>
    <row r="7132" spans="1:4" x14ac:dyDescent="0.25">
      <c r="A7132" t="str">
        <f>T("   940120")</f>
        <v xml:space="preserve">   940120</v>
      </c>
      <c r="B7132" t="str">
        <f>T("   Sièges pour véhicules automobiles")</f>
        <v xml:space="preserve">   Sièges pour véhicules automobiles</v>
      </c>
      <c r="C7132">
        <v>6329974</v>
      </c>
      <c r="D7132">
        <v>1048</v>
      </c>
    </row>
    <row r="7133" spans="1:4" x14ac:dyDescent="0.25">
      <c r="A7133" t="str">
        <f>T("   940130")</f>
        <v xml:space="preserve">   940130</v>
      </c>
      <c r="B7133" t="str">
        <f>T("   Sièges pivotants, ajustables en hauteur (à l'excl. de ceux pour la médecine, la chirurgie, l'art dentaire ou vétérinaire, ainsi que des fauteuils pour salons de coiffure)")</f>
        <v xml:space="preserve">   Sièges pivotants, ajustables en hauteur (à l'excl. de ceux pour la médecine, la chirurgie, l'art dentaire ou vétérinaire, ainsi que des fauteuils pour salons de coiffure)</v>
      </c>
      <c r="C7133">
        <v>33513214</v>
      </c>
      <c r="D7133">
        <v>16992</v>
      </c>
    </row>
    <row r="7134" spans="1:4" x14ac:dyDescent="0.25">
      <c r="A7134" t="str">
        <f>T("   940161")</f>
        <v xml:space="preserve">   940161</v>
      </c>
      <c r="B7134" t="str">
        <f>T("   Sièges, avec bâti en bois, rembourrés (non transformables en lits)")</f>
        <v xml:space="preserve">   Sièges, avec bâti en bois, rembourrés (non transformables en lits)</v>
      </c>
      <c r="C7134">
        <v>7877424</v>
      </c>
      <c r="D7134">
        <v>1594</v>
      </c>
    </row>
    <row r="7135" spans="1:4" x14ac:dyDescent="0.25">
      <c r="A7135" t="str">
        <f>T("   940169")</f>
        <v xml:space="preserve">   940169</v>
      </c>
      <c r="B7135" t="str">
        <f>T("   Sièges, avec bâti en bois, non rembourrés")</f>
        <v xml:space="preserve">   Sièges, avec bâti en bois, non rembourrés</v>
      </c>
      <c r="C7135">
        <v>15814803</v>
      </c>
      <c r="D7135">
        <v>8343</v>
      </c>
    </row>
    <row r="7136" spans="1:4" x14ac:dyDescent="0.25">
      <c r="A7136" t="str">
        <f>T("   940171")</f>
        <v xml:space="preserve">   940171</v>
      </c>
      <c r="B7136" t="str">
        <f>T("   Sièges, avec bâti en métal, rembourrés (autres que pour véhicules aériens ou automobiles, autres que fauteuils pivotants ajustables en hauteur et autres que pour la médecine, l'art dentaire ou la chirurgie)")</f>
        <v xml:space="preserve">   Sièges, avec bâti en métal, rembourrés (autres que pour véhicules aériens ou automobiles, autres que fauteuils pivotants ajustables en hauteur et autres que pour la médecine, l'art dentaire ou la chirurgie)</v>
      </c>
      <c r="C7136">
        <v>8552407</v>
      </c>
      <c r="D7136">
        <v>5744</v>
      </c>
    </row>
    <row r="7137" spans="1:4" x14ac:dyDescent="0.25">
      <c r="A7137" t="str">
        <f>T("   940179")</f>
        <v xml:space="preserve">   940179</v>
      </c>
      <c r="B7137" t="str">
        <f>T("   Sièges, avec bâti en métal non rembourrés (autres que fauteuils pivotants ajustables en hauteur et autres que pour la médecine, l'art dentaire ou la chirurgie)")</f>
        <v xml:space="preserve">   Sièges, avec bâti en métal non rembourrés (autres que fauteuils pivotants ajustables en hauteur et autres que pour la médecine, l'art dentaire ou la chirurgie)</v>
      </c>
      <c r="C7137">
        <v>5215754</v>
      </c>
      <c r="D7137">
        <v>1726</v>
      </c>
    </row>
    <row r="7138" spans="1:4" x14ac:dyDescent="0.25">
      <c r="A7138" t="str">
        <f>T("   940180")</f>
        <v xml:space="preserve">   940180</v>
      </c>
      <c r="B7138" t="str">
        <f>T("   Sièges, n.d.a.")</f>
        <v xml:space="preserve">   Sièges, n.d.a.</v>
      </c>
      <c r="C7138">
        <v>41958340</v>
      </c>
      <c r="D7138">
        <v>26531</v>
      </c>
    </row>
    <row r="7139" spans="1:4" x14ac:dyDescent="0.25">
      <c r="A7139" t="str">
        <f>T("   940190")</f>
        <v xml:space="preserve">   940190</v>
      </c>
      <c r="B7139" t="str">
        <f>T("   Parties de sièges, n.d.a.")</f>
        <v xml:space="preserve">   Parties de sièges, n.d.a.</v>
      </c>
      <c r="C7139">
        <v>11895073</v>
      </c>
      <c r="D7139">
        <v>5907</v>
      </c>
    </row>
    <row r="7140" spans="1:4" x14ac:dyDescent="0.25">
      <c r="A7140" t="str">
        <f>T("   940210")</f>
        <v xml:space="preserve">   940210</v>
      </c>
      <c r="B7140" t="str">
        <f>T("   Fauteuils de dentistes, fauteuils pour salons de coiffure et fauteuils simil., avec dispositif à la fois d'orientation et d'élévation, et leurs parties, n.d.a.")</f>
        <v xml:space="preserve">   Fauteuils de dentistes, fauteuils pour salons de coiffure et fauteuils simil., avec dispositif à la fois d'orientation et d'élévation, et leurs parties, n.d.a.</v>
      </c>
      <c r="C7140">
        <v>16216809</v>
      </c>
      <c r="D7140">
        <v>16595</v>
      </c>
    </row>
    <row r="7141" spans="1:4" x14ac:dyDescent="0.25">
      <c r="A7141" t="str">
        <f>T("   940290")</f>
        <v xml:space="preserve">   940290</v>
      </c>
      <c r="B7141" t="str">
        <f>T("   Tables d'opération, tables d'examen et autre mobilier pour la médecine, la chirurgie, l'art dentaire ou vétérinaire (sauf fauteuils de dentistes et autres sièges, tables d'examen radiographique, civières et brancards, y.c. chariots-brancards)")</f>
        <v xml:space="preserve">   Tables d'opération, tables d'examen et autre mobilier pour la médecine, la chirurgie, l'art dentaire ou vétérinaire (sauf fauteuils de dentistes et autres sièges, tables d'examen radiographique, civières et brancards, y.c. chariots-brancards)</v>
      </c>
      <c r="C7141">
        <v>37551214</v>
      </c>
      <c r="D7141">
        <v>5854</v>
      </c>
    </row>
    <row r="7142" spans="1:4" x14ac:dyDescent="0.25">
      <c r="A7142" t="str">
        <f>T("   940320")</f>
        <v xml:space="preserve">   940320</v>
      </c>
      <c r="B7142" t="str">
        <f>T("   Meubles en métal, sauf meubles de bureau, sièges et mobilier pour la médecine, la chirurgie, l'art dentaire ou vétérinaire")</f>
        <v xml:space="preserve">   Meubles en métal, sauf meubles de bureau, sièges et mobilier pour la médecine, la chirurgie, l'art dentaire ou vétérinaire</v>
      </c>
      <c r="C7142">
        <v>263050</v>
      </c>
      <c r="D7142">
        <v>915</v>
      </c>
    </row>
    <row r="7143" spans="1:4" x14ac:dyDescent="0.25">
      <c r="A7143" t="str">
        <f>T("   940330")</f>
        <v xml:space="preserve">   940330</v>
      </c>
      <c r="B7143" t="str">
        <f>T("   Meubles de bureau en bois (sauf sièges)")</f>
        <v xml:space="preserve">   Meubles de bureau en bois (sauf sièges)</v>
      </c>
      <c r="C7143">
        <v>15945679</v>
      </c>
      <c r="D7143">
        <v>9873</v>
      </c>
    </row>
    <row r="7144" spans="1:4" x14ac:dyDescent="0.25">
      <c r="A7144" t="str">
        <f>T("   940340")</f>
        <v xml:space="preserve">   940340</v>
      </c>
      <c r="B7144" t="str">
        <f>T("   Meubles de cuisine, en bois (sauf sièges)")</f>
        <v xml:space="preserve">   Meubles de cuisine, en bois (sauf sièges)</v>
      </c>
      <c r="C7144">
        <v>1193165</v>
      </c>
      <c r="D7144">
        <v>14</v>
      </c>
    </row>
    <row r="7145" spans="1:4" x14ac:dyDescent="0.25">
      <c r="A7145" t="str">
        <f>T("   940350")</f>
        <v xml:space="preserve">   940350</v>
      </c>
      <c r="B7145" t="str">
        <f>T("   Meubles pour chambres à coucher, en bois (sauf sièges)")</f>
        <v xml:space="preserve">   Meubles pour chambres à coucher, en bois (sauf sièges)</v>
      </c>
      <c r="C7145">
        <v>44206235</v>
      </c>
      <c r="D7145">
        <v>22317</v>
      </c>
    </row>
    <row r="7146" spans="1:4" x14ac:dyDescent="0.25">
      <c r="A7146" t="str">
        <f>T("   940360")</f>
        <v xml:space="preserve">   940360</v>
      </c>
      <c r="B7146" t="str">
        <f>T("   Meubles en bois (autres que pour bureaux, cuisines ou chambres à coucher et autres que sièges)")</f>
        <v xml:space="preserve">   Meubles en bois (autres que pour bureaux, cuisines ou chambres à coucher et autres que sièges)</v>
      </c>
      <c r="C7146">
        <v>16560502</v>
      </c>
      <c r="D7146">
        <v>19627</v>
      </c>
    </row>
    <row r="7147" spans="1:4" x14ac:dyDescent="0.25">
      <c r="A7147" t="str">
        <f>T("   940380")</f>
        <v xml:space="preserve">   940380</v>
      </c>
      <c r="B7147" t="str">
        <f>T("   Meubles en rotin, osier, bambou ou autres matières (sauf métal, bois et matières plastiques)")</f>
        <v xml:space="preserve">   Meubles en rotin, osier, bambou ou autres matières (sauf métal, bois et matières plastiques)</v>
      </c>
      <c r="C7147">
        <v>48240625</v>
      </c>
      <c r="D7147">
        <v>31916</v>
      </c>
    </row>
    <row r="7148" spans="1:4" x14ac:dyDescent="0.25">
      <c r="A7148" t="str">
        <f>T("   940390")</f>
        <v xml:space="preserve">   940390</v>
      </c>
      <c r="B7148" t="str">
        <f>T("   PARTIES DE MEUBLES, N.D.A. (AUTRES QUE DE SIÈGES ET MOBILIER POUR LA MÉDECINE, L'ART DENTAIRE ET VÉTÉRINAIRE OU LA CHIRURGIE)")</f>
        <v xml:space="preserve">   PARTIES DE MEUBLES, N.D.A. (AUTRES QUE DE SIÈGES ET MOBILIER POUR LA MÉDECINE, L'ART DENTAIRE ET VÉTÉRINAIRE OU LA CHIRURGIE)</v>
      </c>
      <c r="C7148">
        <v>3601775</v>
      </c>
      <c r="D7148">
        <v>1567</v>
      </c>
    </row>
    <row r="7149" spans="1:4" x14ac:dyDescent="0.25">
      <c r="A7149" t="str">
        <f>T("   940410")</f>
        <v xml:space="preserve">   940410</v>
      </c>
      <c r="B7149" t="str">
        <f>T("   Sommiers (sauf ressorts pour sièges)")</f>
        <v xml:space="preserve">   Sommiers (sauf ressorts pour sièges)</v>
      </c>
      <c r="C7149">
        <v>366026</v>
      </c>
      <c r="D7149">
        <v>1300</v>
      </c>
    </row>
    <row r="7150" spans="1:4" x14ac:dyDescent="0.25">
      <c r="A7150" t="str">
        <f>T("   940429")</f>
        <v xml:space="preserve">   940429</v>
      </c>
      <c r="B7150" t="str">
        <f>T("   Matelas à ressorts ou rembourrés, ou garnis intérieurement de matières autres que le caoutchouc alvéolaire ou les matières plastiques alvéolaires (sauf matelas à eau, matelas pneumatiques et oreillers)")</f>
        <v xml:space="preserve">   Matelas à ressorts ou rembourrés, ou garnis intérieurement de matières autres que le caoutchouc alvéolaire ou les matières plastiques alvéolaires (sauf matelas à eau, matelas pneumatiques et oreillers)</v>
      </c>
      <c r="C7150">
        <v>5786627</v>
      </c>
      <c r="D7150">
        <v>7076</v>
      </c>
    </row>
    <row r="7151" spans="1:4" x14ac:dyDescent="0.25">
      <c r="A7151" t="str">
        <f>T("   940490")</f>
        <v xml:space="preserve">   940490</v>
      </c>
      <c r="B7151" t="s">
        <v>508</v>
      </c>
      <c r="C7151">
        <v>4215443</v>
      </c>
      <c r="D7151">
        <v>8270</v>
      </c>
    </row>
    <row r="7152" spans="1:4" x14ac:dyDescent="0.25">
      <c r="A7152" t="str">
        <f>T("   940540")</f>
        <v xml:space="preserve">   940540</v>
      </c>
      <c r="B7152" t="str">
        <f>T("   Appareils d'éclairage électrique, n.d.a.")</f>
        <v xml:space="preserve">   Appareils d'éclairage électrique, n.d.a.</v>
      </c>
      <c r="C7152">
        <v>33225206</v>
      </c>
      <c r="D7152">
        <v>5382</v>
      </c>
    </row>
    <row r="7153" spans="1:4" x14ac:dyDescent="0.25">
      <c r="A7153" t="str">
        <f>T("   940600")</f>
        <v xml:space="preserve">   940600</v>
      </c>
      <c r="B7153" t="str">
        <f>T("   Constructions préfabriquées, même incomplètes ou non encore montées")</f>
        <v xml:space="preserve">   Constructions préfabriquées, même incomplètes ou non encore montées</v>
      </c>
      <c r="C7153">
        <v>240371427</v>
      </c>
      <c r="D7153">
        <v>210334</v>
      </c>
    </row>
    <row r="7154" spans="1:4" x14ac:dyDescent="0.25">
      <c r="A7154" t="str">
        <f>T("   950390")</f>
        <v xml:space="preserve">   950390</v>
      </c>
      <c r="B7154" t="str">
        <f>T("   Jouets, n.d.a.")</f>
        <v xml:space="preserve">   Jouets, n.d.a.</v>
      </c>
      <c r="C7154">
        <v>14158161</v>
      </c>
      <c r="D7154">
        <v>2816</v>
      </c>
    </row>
    <row r="7155" spans="1:4" x14ac:dyDescent="0.25">
      <c r="A7155" t="str">
        <f>T("   950430")</f>
        <v xml:space="preserve">   950430</v>
      </c>
      <c r="B7155" t="s">
        <v>509</v>
      </c>
      <c r="C7155">
        <v>133816</v>
      </c>
      <c r="D7155">
        <v>277</v>
      </c>
    </row>
    <row r="7156" spans="1:4" x14ac:dyDescent="0.25">
      <c r="A7156" t="str">
        <f>T("   950590")</f>
        <v xml:space="preserve">   950590</v>
      </c>
      <c r="B7156" t="str">
        <f>T("   Articles pour fêtes, carnaval ou autres divertissements, y.c. les articles de magie et articles-surprises, n.d.a.")</f>
        <v xml:space="preserve">   Articles pour fêtes, carnaval ou autres divertissements, y.c. les articles de magie et articles-surprises, n.d.a.</v>
      </c>
      <c r="C7156">
        <v>719025</v>
      </c>
      <c r="D7156">
        <v>950</v>
      </c>
    </row>
    <row r="7157" spans="1:4" x14ac:dyDescent="0.25">
      <c r="A7157" t="str">
        <f>T("   960310")</f>
        <v xml:space="preserve">   960310</v>
      </c>
      <c r="B7157" t="str">
        <f>T("   Balais et balayettes consistant en matières végétales en bottes liées")</f>
        <v xml:space="preserve">   Balais et balayettes consistant en matières végétales en bottes liées</v>
      </c>
      <c r="C7157">
        <v>11897801</v>
      </c>
      <c r="D7157">
        <v>10683</v>
      </c>
    </row>
    <row r="7158" spans="1:4" x14ac:dyDescent="0.25">
      <c r="A7158" t="str">
        <f>T("   960350")</f>
        <v xml:space="preserve">   960350</v>
      </c>
      <c r="B7158" t="str">
        <f>T("   Brosses constituant des parties de machines, d'appareils ou de véhicules")</f>
        <v xml:space="preserve">   Brosses constituant des parties de machines, d'appareils ou de véhicules</v>
      </c>
      <c r="C7158">
        <v>281033</v>
      </c>
      <c r="D7158">
        <v>48</v>
      </c>
    </row>
    <row r="7159" spans="1:4" x14ac:dyDescent="0.25">
      <c r="A7159" t="str">
        <f>T("   960390")</f>
        <v xml:space="preserve">   960390</v>
      </c>
      <c r="B7159" t="str">
        <f>T("   ARTICLES DE BROSSERIE (SAUF DU N° 9603.10 À 9603.50), P.EX. TÊTES PRÉPARÉES POUR ARTICLES DE BROSSERIE ET RACLETTES EN CAOUTCHOUC OU EN MATIÈRES SOUPLES ANALOGUES")</f>
        <v xml:space="preserve">   ARTICLES DE BROSSERIE (SAUF DU N° 9603.10 À 9603.50), P.EX. TÊTES PRÉPARÉES POUR ARTICLES DE BROSSERIE ET RACLETTES EN CAOUTCHOUC OU EN MATIÈRES SOUPLES ANALOGUES</v>
      </c>
      <c r="C7159">
        <v>5367065</v>
      </c>
      <c r="D7159">
        <v>5577</v>
      </c>
    </row>
    <row r="7160" spans="1:4" x14ac:dyDescent="0.25">
      <c r="A7160" t="str">
        <f>T("   970300")</f>
        <v xml:space="preserve">   970300</v>
      </c>
      <c r="B7160" t="str">
        <f>T("   Productions originales de l'art statuaire ou de la sculpture, en toutes matières")</f>
        <v xml:space="preserve">   Productions originales de l'art statuaire ou de la sculpture, en toutes matières</v>
      </c>
      <c r="C7160">
        <v>913497</v>
      </c>
      <c r="D7160">
        <v>4470</v>
      </c>
    </row>
    <row r="7161" spans="1:4" x14ac:dyDescent="0.25">
      <c r="A7161" t="str">
        <f>T("JM")</f>
        <v>JM</v>
      </c>
      <c r="B7161" t="str">
        <f>T("Jamaïque")</f>
        <v>Jamaïque</v>
      </c>
    </row>
    <row r="7162" spans="1:4" x14ac:dyDescent="0.25">
      <c r="A7162" t="str">
        <f>T("   ZZ_Total_Produit_SH6")</f>
        <v xml:space="preserve">   ZZ_Total_Produit_SH6</v>
      </c>
      <c r="B7162" t="str">
        <f>T("   ZZ_Total_Produit_SH6")</f>
        <v xml:space="preserve">   ZZ_Total_Produit_SH6</v>
      </c>
      <c r="C7162">
        <v>45827438</v>
      </c>
      <c r="D7162">
        <v>1323</v>
      </c>
    </row>
    <row r="7163" spans="1:4" x14ac:dyDescent="0.25">
      <c r="A7163" t="str">
        <f>T("   300210")</f>
        <v xml:space="preserve">   300210</v>
      </c>
      <c r="B7163" t="str">
        <f>T("   Antisérums, autres fractions du sang, produits immunologiques modifiés, même obtenus par voie biotechnologique")</f>
        <v xml:space="preserve">   Antisérums, autres fractions du sang, produits immunologiques modifiés, même obtenus par voie biotechnologique</v>
      </c>
      <c r="C7163">
        <v>43141500</v>
      </c>
      <c r="D7163">
        <v>194</v>
      </c>
    </row>
    <row r="7164" spans="1:4" x14ac:dyDescent="0.25">
      <c r="A7164" t="str">
        <f>T("   330499")</f>
        <v xml:space="preserve">   330499</v>
      </c>
      <c r="B7164" t="s">
        <v>100</v>
      </c>
      <c r="C7164">
        <v>204000</v>
      </c>
      <c r="D7164">
        <v>60</v>
      </c>
    </row>
    <row r="7165" spans="1:4" x14ac:dyDescent="0.25">
      <c r="A7165" t="str">
        <f>T("   570490")</f>
        <v xml:space="preserve">   570490</v>
      </c>
      <c r="B7165" t="str">
        <f>T("   TAPIS ET AUTRES REVÊTEMENTS DE SOL, EN FEUTRE, NON TOUFFETÉS NI FLOQUÉS, MÊME CONFECTIONNÉS (À L'EXCL. DES CARREAUX D'UNE SUPERFICIE &lt;= 0,3 M¦)")</f>
        <v xml:space="preserve">   TAPIS ET AUTRES REVÊTEMENTS DE SOL, EN FEUTRE, NON TOUFFETÉS NI FLOQUÉS, MÊME CONFECTIONNÉS (À L'EXCL. DES CARREAUX D'UNE SUPERFICIE &lt;= 0,3 M¦)</v>
      </c>
      <c r="C7165">
        <v>600000</v>
      </c>
      <c r="D7165">
        <v>510</v>
      </c>
    </row>
    <row r="7166" spans="1:4" x14ac:dyDescent="0.25">
      <c r="A7166" t="str">
        <f>T("   701090")</f>
        <v xml:space="preserve">   701090</v>
      </c>
      <c r="B7166" t="s">
        <v>323</v>
      </c>
      <c r="C7166">
        <v>500000</v>
      </c>
      <c r="D7166">
        <v>524</v>
      </c>
    </row>
    <row r="7167" spans="1:4" x14ac:dyDescent="0.25">
      <c r="A7167" t="str">
        <f>T("   847190")</f>
        <v xml:space="preserve">   847190</v>
      </c>
      <c r="B7167"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7167">
        <v>1381938</v>
      </c>
      <c r="D7167">
        <v>35</v>
      </c>
    </row>
    <row r="7168" spans="1:4" x14ac:dyDescent="0.25">
      <c r="A7168" t="str">
        <f>T("JO")</f>
        <v>JO</v>
      </c>
      <c r="B7168" t="str">
        <f>T("Jordanie")</f>
        <v>Jordanie</v>
      </c>
    </row>
    <row r="7169" spans="1:4" x14ac:dyDescent="0.25">
      <c r="A7169" t="str">
        <f>T("   ZZ_Total_Produit_SH6")</f>
        <v xml:space="preserve">   ZZ_Total_Produit_SH6</v>
      </c>
      <c r="B7169" t="str">
        <f>T("   ZZ_Total_Produit_SH6")</f>
        <v xml:space="preserve">   ZZ_Total_Produit_SH6</v>
      </c>
      <c r="C7169">
        <v>18002201</v>
      </c>
      <c r="D7169">
        <v>47235</v>
      </c>
    </row>
    <row r="7170" spans="1:4" x14ac:dyDescent="0.25">
      <c r="A7170" t="str">
        <f>T("   220210")</f>
        <v xml:space="preserve">   220210</v>
      </c>
      <c r="B7170" t="str">
        <f>T("   Eaux, y.c. les eaux minérales et les eaux gazéifiées, additionnées de sucre ou d'autres édulcorants ou aromatisées, directement consommables en l'état en tant que boissons")</f>
        <v xml:space="preserve">   Eaux, y.c. les eaux minérales et les eaux gazéifiées, additionnées de sucre ou d'autres édulcorants ou aromatisées, directement consommables en l'état en tant que boissons</v>
      </c>
      <c r="C7170">
        <v>4500138</v>
      </c>
      <c r="D7170">
        <v>21250</v>
      </c>
    </row>
    <row r="7171" spans="1:4" x14ac:dyDescent="0.25">
      <c r="A7171" t="str">
        <f>T("   847190")</f>
        <v xml:space="preserve">   847190</v>
      </c>
      <c r="B7171"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7171">
        <v>6145267</v>
      </c>
      <c r="D7171">
        <v>285</v>
      </c>
    </row>
    <row r="7172" spans="1:4" x14ac:dyDescent="0.25">
      <c r="A7172" t="str">
        <f>T("   850440")</f>
        <v xml:space="preserve">   850440</v>
      </c>
      <c r="B7172" t="str">
        <f>T("   CONVERTISSEURS STATIQUES")</f>
        <v xml:space="preserve">   CONVERTISSEURS STATIQUES</v>
      </c>
      <c r="C7172">
        <v>604341</v>
      </c>
      <c r="D7172">
        <v>100</v>
      </c>
    </row>
    <row r="7173" spans="1:4" x14ac:dyDescent="0.25">
      <c r="A7173" t="str">
        <f>T("   960990")</f>
        <v xml:space="preserve">   960990</v>
      </c>
      <c r="B7173" t="str">
        <f>T("   Crayons (sauf crayons à gaine), pastels, fusains, craies à écrire ou à dessiner et craies de tailleurs")</f>
        <v xml:space="preserve">   Crayons (sauf crayons à gaine), pastels, fusains, craies à écrire ou à dessiner et craies de tailleurs</v>
      </c>
      <c r="C7173">
        <v>6752455</v>
      </c>
      <c r="D7173">
        <v>25600</v>
      </c>
    </row>
    <row r="7174" spans="1:4" x14ac:dyDescent="0.25">
      <c r="A7174" t="str">
        <f>T("JP")</f>
        <v>JP</v>
      </c>
      <c r="B7174" t="str">
        <f>T("Japon")</f>
        <v>Japon</v>
      </c>
    </row>
    <row r="7175" spans="1:4" x14ac:dyDescent="0.25">
      <c r="A7175" t="str">
        <f>T("   ZZ_Total_Produit_SH6")</f>
        <v xml:space="preserve">   ZZ_Total_Produit_SH6</v>
      </c>
      <c r="B7175" t="str">
        <f>T("   ZZ_Total_Produit_SH6")</f>
        <v xml:space="preserve">   ZZ_Total_Produit_SH6</v>
      </c>
      <c r="C7175">
        <v>9266541336.2150002</v>
      </c>
      <c r="D7175">
        <v>97867854.5</v>
      </c>
    </row>
    <row r="7176" spans="1:4" x14ac:dyDescent="0.25">
      <c r="A7176" t="str">
        <f>T("   030374")</f>
        <v xml:space="preserve">   030374</v>
      </c>
      <c r="B7176" t="str">
        <f>T("   Maquereaux [Scomber scombrus, Scomber australasicus, Scomber japonicus], congelés")</f>
        <v xml:space="preserve">   Maquereaux [Scomber scombrus, Scomber australasicus, Scomber japonicus], congelés</v>
      </c>
      <c r="C7176">
        <v>33818673</v>
      </c>
      <c r="D7176">
        <v>150300</v>
      </c>
    </row>
    <row r="7177" spans="1:4" x14ac:dyDescent="0.25">
      <c r="A7177" t="str">
        <f>T("   030379")</f>
        <v xml:space="preserve">   030379</v>
      </c>
      <c r="B7177" t="s">
        <v>15</v>
      </c>
      <c r="C7177">
        <v>22511107</v>
      </c>
      <c r="D7177">
        <v>100050</v>
      </c>
    </row>
    <row r="7178" spans="1:4" x14ac:dyDescent="0.25">
      <c r="A7178" t="str">
        <f>T("   100620")</f>
        <v xml:space="preserve">   100620</v>
      </c>
      <c r="B7178" t="str">
        <f>T("   Riz décortiqué [riz cargo ou riz brun]")</f>
        <v xml:space="preserve">   Riz décortiqué [riz cargo ou riz brun]</v>
      </c>
      <c r="C7178">
        <v>3631372308.2150002</v>
      </c>
      <c r="D7178">
        <v>8321968</v>
      </c>
    </row>
    <row r="7179" spans="1:4" x14ac:dyDescent="0.25">
      <c r="A7179" t="str">
        <f>T("   220600")</f>
        <v xml:space="preserve">   220600</v>
      </c>
      <c r="B7179" t="s">
        <v>57</v>
      </c>
      <c r="C7179">
        <v>4000000</v>
      </c>
      <c r="D7179">
        <v>28571</v>
      </c>
    </row>
    <row r="7180" spans="1:4" x14ac:dyDescent="0.25">
      <c r="A7180" t="str">
        <f>T("   252310")</f>
        <v xml:space="preserve">   252310</v>
      </c>
      <c r="B7180" t="str">
        <f>T("   Ciments non pulvérisés dits 'clinkers'")</f>
        <v xml:space="preserve">   Ciments non pulvérisés dits 'clinkers'</v>
      </c>
      <c r="C7180">
        <v>3067750000</v>
      </c>
      <c r="D7180">
        <v>87650000</v>
      </c>
    </row>
    <row r="7181" spans="1:4" x14ac:dyDescent="0.25">
      <c r="A7181" t="str">
        <f>T("   292910")</f>
        <v xml:space="preserve">   292910</v>
      </c>
      <c r="B7181" t="str">
        <f>T("   Isocyanates")</f>
        <v xml:space="preserve">   Isocyanates</v>
      </c>
      <c r="C7181">
        <v>28206280</v>
      </c>
      <c r="D7181">
        <v>21520</v>
      </c>
    </row>
    <row r="7182" spans="1:4" x14ac:dyDescent="0.25">
      <c r="A7182" t="str">
        <f>T("   292990")</f>
        <v xml:space="preserve">   292990</v>
      </c>
      <c r="B7182" t="s">
        <v>69</v>
      </c>
      <c r="C7182">
        <v>40051056</v>
      </c>
      <c r="D7182">
        <v>20000</v>
      </c>
    </row>
    <row r="7183" spans="1:4" x14ac:dyDescent="0.25">
      <c r="A7183" t="str">
        <f>T("   300490")</f>
        <v xml:space="preserve">   300490</v>
      </c>
      <c r="B7183" t="s">
        <v>78</v>
      </c>
      <c r="C7183">
        <v>56594916</v>
      </c>
      <c r="D7183">
        <v>20832</v>
      </c>
    </row>
    <row r="7184" spans="1:4" x14ac:dyDescent="0.25">
      <c r="A7184" t="str">
        <f>T("   380890")</f>
        <v xml:space="preserve">   380890</v>
      </c>
      <c r="B7184" t="str">
        <f>T("   Antirongeurs et autres produits phytosanitaires, présentés dans des formes ou emballages de vente au détail ou à l'état de préparations ou sous forme d'articles (à l'excl. des insecticides, des fongicides, des herbicides et des désinfectants)")</f>
        <v xml:space="preserve">   Antirongeurs et autres produits phytosanitaires, présentés dans des formes ou emballages de vente au détail ou à l'état de préparations ou sous forme d'articles (à l'excl. des insecticides, des fongicides, des herbicides et des désinfectants)</v>
      </c>
      <c r="C7184">
        <v>6628672</v>
      </c>
      <c r="D7184">
        <v>790</v>
      </c>
    </row>
    <row r="7185" spans="1:4" x14ac:dyDescent="0.25">
      <c r="A7185" t="str">
        <f>T("   382200")</f>
        <v xml:space="preserve">   382200</v>
      </c>
      <c r="B7185" t="s">
        <v>125</v>
      </c>
      <c r="C7185">
        <v>19182600</v>
      </c>
      <c r="D7185">
        <v>8</v>
      </c>
    </row>
    <row r="7186" spans="1:4" x14ac:dyDescent="0.25">
      <c r="A7186" t="str">
        <f>T("   400911")</f>
        <v xml:space="preserve">   400911</v>
      </c>
      <c r="B7186" t="str">
        <f>T("   Tubes et tuyaux en caoutchouc vulcanisé non durci, non renforcés à l'aide d'autres matières ni autrement associés à d'autres matières, sans accessoires")</f>
        <v xml:space="preserve">   Tubes et tuyaux en caoutchouc vulcanisé non durci, non renforcés à l'aide d'autres matières ni autrement associés à d'autres matières, sans accessoires</v>
      </c>
      <c r="C7186">
        <v>153718</v>
      </c>
      <c r="D7186">
        <v>4</v>
      </c>
    </row>
    <row r="7187" spans="1:4" x14ac:dyDescent="0.25">
      <c r="A7187" t="str">
        <f>T("   401039")</f>
        <v xml:space="preserve">   401039</v>
      </c>
      <c r="B7187" t="s">
        <v>154</v>
      </c>
      <c r="C7187">
        <v>2640322</v>
      </c>
      <c r="D7187">
        <v>146</v>
      </c>
    </row>
    <row r="7188" spans="1:4" x14ac:dyDescent="0.25">
      <c r="A7188" t="str">
        <f>T("   401110")</f>
        <v xml:space="preserve">   401110</v>
      </c>
      <c r="B7188" t="str">
        <f>T("   Pneumatiques neufs, en caoutchouc, des types utilisés pour les voitures de tourisme, y.c. les voitures du type 'break' et les voitures de course")</f>
        <v xml:space="preserve">   Pneumatiques neufs, en caoutchouc, des types utilisés pour les voitures de tourisme, y.c. les voitures du type 'break' et les voitures de course</v>
      </c>
      <c r="C7188">
        <v>24740350</v>
      </c>
      <c r="D7188">
        <v>6455</v>
      </c>
    </row>
    <row r="7189" spans="1:4" x14ac:dyDescent="0.25">
      <c r="A7189" t="str">
        <f>T("   401120")</f>
        <v xml:space="preserve">   401120</v>
      </c>
      <c r="B7189" t="str">
        <f>T("   Pneumatiques neufs, en caoutchouc, des types utilisés pour les autobus ou les camions (à l'excl. des pneumatiques à crampons, à chevrons ou simil.)")</f>
        <v xml:space="preserve">   Pneumatiques neufs, en caoutchouc, des types utilisés pour les autobus ou les camions (à l'excl. des pneumatiques à crampons, à chevrons ou simil.)</v>
      </c>
      <c r="C7189">
        <v>11717758</v>
      </c>
      <c r="D7189">
        <v>757</v>
      </c>
    </row>
    <row r="7190" spans="1:4" x14ac:dyDescent="0.25">
      <c r="A7190" t="str">
        <f>T("   401390")</f>
        <v xml:space="preserve">   401390</v>
      </c>
      <c r="B7190" t="str">
        <f>T("   Chambres à air, en caoutchouc (à l'excl. des chambres à air des types utilisés pour les voitures de tourisme, les voitures du type 'break', les voitures de course, les autobus, les camions et les bicyclettes)")</f>
        <v xml:space="preserve">   Chambres à air, en caoutchouc (à l'excl. des chambres à air des types utilisés pour les voitures de tourisme, les voitures du type 'break', les voitures de course, les autobus, les camions et les bicyclettes)</v>
      </c>
      <c r="C7190">
        <v>31093</v>
      </c>
      <c r="D7190">
        <v>1</v>
      </c>
    </row>
    <row r="7191" spans="1:4" x14ac:dyDescent="0.25">
      <c r="A7191" t="str">
        <f>T("   420212")</f>
        <v xml:space="preserve">   420212</v>
      </c>
      <c r="B7191" t="str">
        <f>T("   Malles, valises et mallettes, y.c. les mallettes de toilette et les mallettes porte-documents, serviettes, cartables et contenants simil., à surface extérieure en matières plastiques ou en matières textiles")</f>
        <v xml:space="preserve">   Malles, valises et mallettes, y.c. les mallettes de toilette et les mallettes porte-documents, serviettes, cartables et contenants simil., à surface extérieure en matières plastiques ou en matières textiles</v>
      </c>
      <c r="C7191">
        <v>7641934</v>
      </c>
      <c r="D7191">
        <v>14000</v>
      </c>
    </row>
    <row r="7192" spans="1:4" x14ac:dyDescent="0.25">
      <c r="A7192" t="str">
        <f>T("   420229")</f>
        <v xml:space="preserve">   420229</v>
      </c>
      <c r="B7192" t="str">
        <f>T("   Sacs à main, même à bandoulière, y.c. ceux sans poignée, à surface extérieure en fibre vulcanisée ou en carton, ou recouverts, en totalité ou en majeure partie, de ces mêmes matières ou de papier")</f>
        <v xml:space="preserve">   Sacs à main, même à bandoulière, y.c. ceux sans poignée, à surface extérieure en fibre vulcanisée ou en carton, ou recouverts, en totalité ou en majeure partie, de ces mêmes matières ou de papier</v>
      </c>
      <c r="C7192">
        <v>37192933</v>
      </c>
      <c r="D7192">
        <v>56935</v>
      </c>
    </row>
    <row r="7193" spans="1:4" x14ac:dyDescent="0.25">
      <c r="A7193" t="str">
        <f>T("   420330")</f>
        <v xml:space="preserve">   420330</v>
      </c>
      <c r="B7193" t="str">
        <f>T("   Ceintures, ceinturons et baudriers, en cuir naturel ou reconstitué")</f>
        <v xml:space="preserve">   Ceintures, ceinturons et baudriers, en cuir naturel ou reconstitué</v>
      </c>
      <c r="C7193">
        <v>300429</v>
      </c>
      <c r="D7193">
        <v>125</v>
      </c>
    </row>
    <row r="7194" spans="1:4" x14ac:dyDescent="0.25">
      <c r="A7194" t="str">
        <f>T("   490199")</f>
        <v xml:space="preserve">   490199</v>
      </c>
      <c r="B7194"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7194">
        <v>1300000</v>
      </c>
      <c r="D7194">
        <v>865</v>
      </c>
    </row>
    <row r="7195" spans="1:4" x14ac:dyDescent="0.25">
      <c r="A7195" t="str">
        <f>T("   491110")</f>
        <v xml:space="preserve">   491110</v>
      </c>
      <c r="B7195" t="str">
        <f>T("   Imprimés publicitaires, catalogues commerciaux et simil.")</f>
        <v xml:space="preserve">   Imprimés publicitaires, catalogues commerciaux et simil.</v>
      </c>
      <c r="C7195">
        <v>161576</v>
      </c>
      <c r="D7195">
        <v>1</v>
      </c>
    </row>
    <row r="7196" spans="1:4" x14ac:dyDescent="0.25">
      <c r="A7196" t="str">
        <f>T("   620590")</f>
        <v xml:space="preserve">   620590</v>
      </c>
      <c r="B7196"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7196">
        <v>3650000</v>
      </c>
      <c r="D7196">
        <v>4035</v>
      </c>
    </row>
    <row r="7197" spans="1:4" x14ac:dyDescent="0.25">
      <c r="A7197" t="str">
        <f>T("   630900")</f>
        <v xml:space="preserve">   630900</v>
      </c>
      <c r="B7197" t="s">
        <v>280</v>
      </c>
      <c r="C7197">
        <v>511147662</v>
      </c>
      <c r="D7197">
        <v>921474</v>
      </c>
    </row>
    <row r="7198" spans="1:4" x14ac:dyDescent="0.25">
      <c r="A7198" t="str">
        <f>T("   640590")</f>
        <v xml:space="preserve">   640590</v>
      </c>
      <c r="B7198" t="s">
        <v>290</v>
      </c>
      <c r="C7198">
        <v>12164124</v>
      </c>
      <c r="D7198">
        <v>8019</v>
      </c>
    </row>
    <row r="7199" spans="1:4" x14ac:dyDescent="0.25">
      <c r="A7199" t="str">
        <f>T("   700729")</f>
        <v xml:space="preserve">   700729</v>
      </c>
      <c r="B7199" t="s">
        <v>322</v>
      </c>
      <c r="C7199">
        <v>163537</v>
      </c>
      <c r="D7199">
        <v>4</v>
      </c>
    </row>
    <row r="7200" spans="1:4" x14ac:dyDescent="0.25">
      <c r="A7200" t="str">
        <f>T("   721061")</f>
        <v xml:space="preserve">   721061</v>
      </c>
      <c r="B7200" t="str">
        <f>T("   Produits laminés plats, en fer ou aciers non alliés, d'une largeur &gt;= 600 mm, laminés à chaud ou à froid, revêtus d'alliages d'aluminium et de zinc")</f>
        <v xml:space="preserve">   Produits laminés plats, en fer ou aciers non alliés, d'une largeur &gt;= 600 mm, laminés à chaud ou à froid, revêtus d'alliages d'aluminium et de zinc</v>
      </c>
      <c r="C7200">
        <v>7887919</v>
      </c>
      <c r="D7200">
        <v>25000</v>
      </c>
    </row>
    <row r="7201" spans="1:4" x14ac:dyDescent="0.25">
      <c r="A7201" t="str">
        <f>T("   721730")</f>
        <v xml:space="preserve">   721730</v>
      </c>
      <c r="B7201" t="str">
        <f>T("   FILS EN FER OU EN ACIERS NON-ALLIÉS, ENROULÉS, REVÊTUS DE MÉTAUX COMMUNS (À L'EXCL. DES FILS ZINGUÉS AINSI QUE DU FIL MACHINE)")</f>
        <v xml:space="preserve">   FILS EN FER OU EN ACIERS NON-ALLIÉS, ENROULÉS, REVÊTUS DE MÉTAUX COMMUNS (À L'EXCL. DES FILS ZINGUÉS AINSI QUE DU FIL MACHINE)</v>
      </c>
      <c r="C7201">
        <v>1703008</v>
      </c>
      <c r="D7201">
        <v>50</v>
      </c>
    </row>
    <row r="7202" spans="1:4" x14ac:dyDescent="0.25">
      <c r="A7202" t="str">
        <f>T("   731589")</f>
        <v xml:space="preserve">   731589</v>
      </c>
      <c r="B7202" t="s">
        <v>353</v>
      </c>
      <c r="C7202">
        <v>85649</v>
      </c>
      <c r="D7202">
        <v>3</v>
      </c>
    </row>
    <row r="7203" spans="1:4" x14ac:dyDescent="0.25">
      <c r="A7203" t="str">
        <f>T("   731822")</f>
        <v xml:space="preserve">   731822</v>
      </c>
      <c r="B7203" t="str">
        <f>T("   Rondelles en fonte, fer ou acier (sauf rondelles destinées à faire ressort et autres rondelles de blocage)")</f>
        <v xml:space="preserve">   Rondelles en fonte, fer ou acier (sauf rondelles destinées à faire ressort et autres rondelles de blocage)</v>
      </c>
      <c r="C7203">
        <v>1126283</v>
      </c>
      <c r="D7203">
        <v>20</v>
      </c>
    </row>
    <row r="7204" spans="1:4" x14ac:dyDescent="0.25">
      <c r="A7204" t="str">
        <f>T("   732394")</f>
        <v xml:space="preserve">   732394</v>
      </c>
      <c r="B7204" t="s">
        <v>361</v>
      </c>
      <c r="C7204">
        <v>1720000</v>
      </c>
      <c r="D7204">
        <v>3245</v>
      </c>
    </row>
    <row r="7205" spans="1:4" x14ac:dyDescent="0.25">
      <c r="A7205" t="str">
        <f>T("   732399")</f>
        <v xml:space="preserve">   732399</v>
      </c>
      <c r="B7205" t="s">
        <v>362</v>
      </c>
      <c r="C7205">
        <v>300430</v>
      </c>
      <c r="D7205">
        <v>875</v>
      </c>
    </row>
    <row r="7206" spans="1:4" x14ac:dyDescent="0.25">
      <c r="A7206" t="str">
        <f>T("   830120")</f>
        <v xml:space="preserve">   830120</v>
      </c>
      <c r="B7206" t="str">
        <f>T("   Serrures des types utilisés pour véhicules automobiles, en métaux communs")</f>
        <v xml:space="preserve">   Serrures des types utilisés pour véhicules automobiles, en métaux communs</v>
      </c>
      <c r="C7206">
        <v>117902</v>
      </c>
      <c r="D7206">
        <v>0.75</v>
      </c>
    </row>
    <row r="7207" spans="1:4" x14ac:dyDescent="0.25">
      <c r="A7207" t="str">
        <f>T("   830230")</f>
        <v xml:space="preserve">   830230</v>
      </c>
      <c r="B7207" t="str">
        <f>T("   Garnitures, ferrures et simil. en métaux communs, pour véhicules automobiles (sauf charnières et serrures)")</f>
        <v xml:space="preserve">   Garnitures, ferrures et simil. en métaux communs, pour véhicules automobiles (sauf charnières et serrures)</v>
      </c>
      <c r="C7207">
        <v>15750</v>
      </c>
      <c r="D7207">
        <v>0.25</v>
      </c>
    </row>
    <row r="7208" spans="1:4" x14ac:dyDescent="0.25">
      <c r="A7208" t="str">
        <f>T("   840999")</f>
        <v xml:space="preserve">   840999</v>
      </c>
      <c r="B7208" t="str">
        <f>T("   Parties reconnaissables comme étant exclusivement ou principalement destinées aux moteurs à piston à allumage par compression, n.d.a.")</f>
        <v xml:space="preserve">   Parties reconnaissables comme étant exclusivement ou principalement destinées aux moteurs à piston à allumage par compression, n.d.a.</v>
      </c>
      <c r="C7208">
        <v>188175</v>
      </c>
      <c r="D7208">
        <v>1.5</v>
      </c>
    </row>
    <row r="7209" spans="1:4" x14ac:dyDescent="0.25">
      <c r="A7209" t="str">
        <f>T("   841381")</f>
        <v xml:space="preserve">   841381</v>
      </c>
      <c r="B7209" t="s">
        <v>393</v>
      </c>
      <c r="C7209">
        <v>2630622</v>
      </c>
      <c r="D7209">
        <v>70</v>
      </c>
    </row>
    <row r="7210" spans="1:4" x14ac:dyDescent="0.25">
      <c r="A7210" t="str">
        <f>T("   842131")</f>
        <v xml:space="preserve">   842131</v>
      </c>
      <c r="B7210" t="str">
        <f>T("   Filtres d'entrée d'air pour moteurs à allumage par étincelles ou par compression")</f>
        <v xml:space="preserve">   Filtres d'entrée d'air pour moteurs à allumage par étincelles ou par compression</v>
      </c>
      <c r="C7210">
        <v>222955</v>
      </c>
      <c r="D7210">
        <v>2.5</v>
      </c>
    </row>
    <row r="7211" spans="1:4" x14ac:dyDescent="0.25">
      <c r="A7211" t="str">
        <f>T("   842139")</f>
        <v xml:space="preserve">   842139</v>
      </c>
      <c r="B7211" t="str">
        <f>T("   Appareils pour la filtration ou l'épuration des gaz (autres que pour la séparation isotopique et sauf les filtres d'entrée d'air pour moteurs à allumage par étincelles ou par compression)")</f>
        <v xml:space="preserve">   Appareils pour la filtration ou l'épuration des gaz (autres que pour la séparation isotopique et sauf les filtres d'entrée d'air pour moteurs à allumage par étincelles ou par compression)</v>
      </c>
      <c r="C7211">
        <v>7839031</v>
      </c>
      <c r="D7211">
        <v>483</v>
      </c>
    </row>
    <row r="7212" spans="1:4" x14ac:dyDescent="0.25">
      <c r="A7212" t="str">
        <f>T("   842549")</f>
        <v xml:space="preserve">   842549</v>
      </c>
      <c r="B7212" t="str">
        <f>T("   Crics et vérins, non hydrauliques")</f>
        <v xml:space="preserve">   Crics et vérins, non hydrauliques</v>
      </c>
      <c r="C7212">
        <v>16071</v>
      </c>
      <c r="D7212">
        <v>1</v>
      </c>
    </row>
    <row r="7213" spans="1:4" x14ac:dyDescent="0.25">
      <c r="A7213" t="str">
        <f>T("   843049")</f>
        <v xml:space="preserve">   843049</v>
      </c>
      <c r="B7213" t="str">
        <f>T("   Machines de sondage ou de forage de la terre, des minéraux ou des minerais non autopropulsées et non hydrauliques (à l'excl. des machines à creuser les tunnels et autres machines à creuser les galeries, et sauf outillage pour emploi à la main)")</f>
        <v xml:space="preserve">   Machines de sondage ou de forage de la terre, des minéraux ou des minerais non autopropulsées et non hydrauliques (à l'excl. des machines à creuser les tunnels et autres machines à creuser les galeries, et sauf outillage pour emploi à la main)</v>
      </c>
      <c r="C7213">
        <v>4034154</v>
      </c>
      <c r="D7213">
        <v>9000</v>
      </c>
    </row>
    <row r="7214" spans="1:4" x14ac:dyDescent="0.25">
      <c r="A7214" t="str">
        <f>T("   843149")</f>
        <v xml:space="preserve">   843149</v>
      </c>
      <c r="B7214" t="str">
        <f>T("   Parties de machines et appareils du n° 8426, 8429 ou 8430, n.d.a.")</f>
        <v xml:space="preserve">   Parties de machines et appareils du n° 8426, 8429 ou 8430, n.d.a.</v>
      </c>
      <c r="C7214">
        <v>3753403</v>
      </c>
      <c r="D7214">
        <v>110</v>
      </c>
    </row>
    <row r="7215" spans="1:4" x14ac:dyDescent="0.25">
      <c r="A7215" t="str">
        <f>T("   847720")</f>
        <v xml:space="preserve">   847720</v>
      </c>
      <c r="B7215" t="str">
        <f>T("   Extrudeuses pour le travail du caoutchouc ou des matières plastiques ou pour la fabrication de produits en ces matières")</f>
        <v xml:space="preserve">   Extrudeuses pour le travail du caoutchouc ou des matières plastiques ou pour la fabrication de produits en ces matières</v>
      </c>
      <c r="C7215">
        <v>5677048</v>
      </c>
      <c r="D7215">
        <v>9100</v>
      </c>
    </row>
    <row r="7216" spans="1:4" x14ac:dyDescent="0.25">
      <c r="A7216" t="str">
        <f>T("   848180")</f>
        <v xml:space="preserve">   848180</v>
      </c>
      <c r="B7216" t="str">
        <f>T("   Articles de robinetterie et organes simil. pour tuyauteries, etc. (à l'excl. des détendeurs, valves pour transmissions oléohydrauliques ou pneumatiques, clapets et soupapes de retenue et sauf soupapes de trop-plein ou de sûreté)")</f>
        <v xml:space="preserve">   Articles de robinetterie et organes simil. pour tuyauteries, etc. (à l'excl. des détendeurs, valves pour transmissions oléohydrauliques ou pneumatiques, clapets et soupapes de retenue et sauf soupapes de trop-plein ou de sûreté)</v>
      </c>
      <c r="C7216">
        <v>1650395</v>
      </c>
      <c r="D7216">
        <v>24</v>
      </c>
    </row>
    <row r="7217" spans="1:4" x14ac:dyDescent="0.25">
      <c r="A7217" t="str">
        <f>T("   848490")</f>
        <v xml:space="preserve">   848490</v>
      </c>
      <c r="B7217" t="str">
        <f>T("   Jeux ou assortiments de joints de composition différente présentés en pochettes, enveloppes ou emballages analogues")</f>
        <v xml:space="preserve">   Jeux ou assortiments de joints de composition différente présentés en pochettes, enveloppes ou emballages analogues</v>
      </c>
      <c r="C7217">
        <v>5996510</v>
      </c>
      <c r="D7217">
        <v>264</v>
      </c>
    </row>
    <row r="7218" spans="1:4" x14ac:dyDescent="0.25">
      <c r="A7218" t="str">
        <f>T("   851150")</f>
        <v xml:space="preserve">   851150</v>
      </c>
      <c r="B7218" t="str">
        <f>T("   Génératrices pour moteurs à allumage par étincelles ou par compression (autres que dynamos-magnétos et démarreurs fonctionnant comme génératrices)")</f>
        <v xml:space="preserve">   Génératrices pour moteurs à allumage par étincelles ou par compression (autres que dynamos-magnétos et démarreurs fonctionnant comme génératrices)</v>
      </c>
      <c r="C7218">
        <v>876363</v>
      </c>
      <c r="D7218">
        <v>23</v>
      </c>
    </row>
    <row r="7219" spans="1:4" x14ac:dyDescent="0.25">
      <c r="A7219" t="str">
        <f>T("   852439")</f>
        <v xml:space="preserve">   852439</v>
      </c>
      <c r="B7219" t="str">
        <f>T("   Disques enregistrés pour systèmes de lecture optique par faisceau laser, pour la reproduction du son et de l'image ou de l'image uniquement")</f>
        <v xml:space="preserve">   Disques enregistrés pour systèmes de lecture optique par faisceau laser, pour la reproduction du son et de l'image ou de l'image uniquement</v>
      </c>
      <c r="C7219">
        <v>231173</v>
      </c>
      <c r="D7219">
        <v>9</v>
      </c>
    </row>
    <row r="7220" spans="1:4" x14ac:dyDescent="0.25">
      <c r="A7220" t="str">
        <f>T("   852910")</f>
        <v xml:space="preserve">   852910</v>
      </c>
      <c r="B7220" t="str">
        <f>T("   Antennes et réflecteurs d'antennes de tous types; parties reconnaissables comme étant utilisées conjointement avec ces articles, n.d.a.")</f>
        <v xml:space="preserve">   Antennes et réflecteurs d'antennes de tous types; parties reconnaissables comme étant utilisées conjointement avec ces articles, n.d.a.</v>
      </c>
      <c r="C7220">
        <v>64317</v>
      </c>
      <c r="D7220">
        <v>4</v>
      </c>
    </row>
    <row r="7221" spans="1:4" x14ac:dyDescent="0.25">
      <c r="A7221" t="str">
        <f>T("   853210")</f>
        <v xml:space="preserve">   853210</v>
      </c>
      <c r="B7221" t="str">
        <f>T("   Condensateurs électriques fixes conçus pour les réseaux électriques de 50/60 Hz et capables d'absorber une puissance réactive &gt;= 0,5 kvar [condensateurs de puissance]")</f>
        <v xml:space="preserve">   Condensateurs électriques fixes conçus pour les réseaux électriques de 50/60 Hz et capables d'absorber une puissance réactive &gt;= 0,5 kvar [condensateurs de puissance]</v>
      </c>
      <c r="C7221">
        <v>3687105</v>
      </c>
      <c r="D7221">
        <v>290</v>
      </c>
    </row>
    <row r="7222" spans="1:4" x14ac:dyDescent="0.25">
      <c r="A7222" t="str">
        <f>T("   853510")</f>
        <v xml:space="preserve">   853510</v>
      </c>
      <c r="B7222" t="str">
        <f>T("   Fusibles et coupe-circuit à fusibles, pour une tension &gt; 1.000 V")</f>
        <v xml:space="preserve">   Fusibles et coupe-circuit à fusibles, pour une tension &gt; 1.000 V</v>
      </c>
      <c r="C7222">
        <v>70207</v>
      </c>
      <c r="D7222">
        <v>25</v>
      </c>
    </row>
    <row r="7223" spans="1:4" x14ac:dyDescent="0.25">
      <c r="A7223" t="str">
        <f>T("   853610")</f>
        <v xml:space="preserve">   853610</v>
      </c>
      <c r="B7223" t="str">
        <f>T("   Fusibles et coupe-circuit à fusibles, pour une tension &lt;= 1.000 V")</f>
        <v xml:space="preserve">   Fusibles et coupe-circuit à fusibles, pour une tension &lt;= 1.000 V</v>
      </c>
      <c r="C7223">
        <v>142032</v>
      </c>
      <c r="D7223">
        <v>11</v>
      </c>
    </row>
    <row r="7224" spans="1:4" x14ac:dyDescent="0.25">
      <c r="A7224" t="str">
        <f>T("   853649")</f>
        <v xml:space="preserve">   853649</v>
      </c>
      <c r="B7224" t="str">
        <f>T("   Relais, pour une tension &gt; 60 V mais &lt;= 1.000 V")</f>
        <v xml:space="preserve">   Relais, pour une tension &gt; 60 V mais &lt;= 1.000 V</v>
      </c>
      <c r="C7224">
        <v>792544</v>
      </c>
      <c r="D7224">
        <v>37</v>
      </c>
    </row>
    <row r="7225" spans="1:4" x14ac:dyDescent="0.25">
      <c r="A7225" t="str">
        <f>T("   853650")</f>
        <v xml:space="preserve">   853650</v>
      </c>
      <c r="B7225" t="str">
        <f>T("   Interrupteurs, sectionneurs et commutateurs, pour une tension &lt;= 1.000 V (autres que relais et disjoncteurs)")</f>
        <v xml:space="preserve">   Interrupteurs, sectionneurs et commutateurs, pour une tension &lt;= 1.000 V (autres que relais et disjoncteurs)</v>
      </c>
      <c r="C7225">
        <v>101018</v>
      </c>
      <c r="D7225">
        <v>3</v>
      </c>
    </row>
    <row r="7226" spans="1:4" x14ac:dyDescent="0.25">
      <c r="A7226" t="str">
        <f>T("   853929")</f>
        <v xml:space="preserve">   853929</v>
      </c>
      <c r="B7226" t="str">
        <f>T("   Lampes et tubes à incandescence électriques (autres que lampes et tubes halogènes, au tungstène, lampes d'une puissance &lt;= 200 W et pour une tension &gt; 100 V, et lampes à rayons ultraviolets ou infrarouges)")</f>
        <v xml:space="preserve">   Lampes et tubes à incandescence électriques (autres que lampes et tubes halogènes, au tungstène, lampes d'une puissance &lt;= 200 W et pour une tension &gt; 100 V, et lampes à rayons ultraviolets ou infrarouges)</v>
      </c>
      <c r="C7226">
        <v>585385</v>
      </c>
      <c r="D7226">
        <v>47</v>
      </c>
    </row>
    <row r="7227" spans="1:4" x14ac:dyDescent="0.25">
      <c r="A7227" t="str">
        <f>T("   854389")</f>
        <v xml:space="preserve">   854389</v>
      </c>
      <c r="B7227" t="str">
        <f>T("   MACHINES ET APPAREILS ÉLECTRIQUES AYANT UNE FONCTION PROPRE, N.D.A. DANS LE CHAPITRE 85")</f>
        <v xml:space="preserve">   MACHINES ET APPAREILS ÉLECTRIQUES AYANT UNE FONCTION PROPRE, N.D.A. DANS LE CHAPITRE 85</v>
      </c>
      <c r="C7227">
        <v>1270824</v>
      </c>
      <c r="D7227">
        <v>151</v>
      </c>
    </row>
    <row r="7228" spans="1:4" x14ac:dyDescent="0.25">
      <c r="A7228" t="str">
        <f>T("   870120")</f>
        <v xml:space="preserve">   870120</v>
      </c>
      <c r="B7228" t="str">
        <f>T("   Tracteurs routiers pour semi-remorques")</f>
        <v xml:space="preserve">   Tracteurs routiers pour semi-remorques</v>
      </c>
      <c r="C7228">
        <v>4003156</v>
      </c>
      <c r="D7228">
        <v>24130</v>
      </c>
    </row>
    <row r="7229" spans="1:4" x14ac:dyDescent="0.25">
      <c r="A7229" t="str">
        <f>T("   870210")</f>
        <v xml:space="preserve">   870210</v>
      </c>
      <c r="B7229" t="s">
        <v>472</v>
      </c>
      <c r="C7229">
        <v>6027923</v>
      </c>
      <c r="D7229">
        <v>7700</v>
      </c>
    </row>
    <row r="7230" spans="1:4" x14ac:dyDescent="0.25">
      <c r="A7230" t="str">
        <f>T("   870290")</f>
        <v xml:space="preserve">   870290</v>
      </c>
      <c r="B7230" t="s">
        <v>473</v>
      </c>
      <c r="C7230">
        <v>6989164</v>
      </c>
      <c r="D7230">
        <v>6040</v>
      </c>
    </row>
    <row r="7231" spans="1:4" x14ac:dyDescent="0.25">
      <c r="A7231" t="str">
        <f>T("   870322")</f>
        <v xml:space="preserve">   870322</v>
      </c>
      <c r="B7231" t="s">
        <v>475</v>
      </c>
      <c r="C7231">
        <v>362997751</v>
      </c>
      <c r="D7231">
        <v>192148</v>
      </c>
    </row>
    <row r="7232" spans="1:4" x14ac:dyDescent="0.25">
      <c r="A7232" t="str">
        <f>T("   870323")</f>
        <v xml:space="preserve">   870323</v>
      </c>
      <c r="B7232" t="s">
        <v>476</v>
      </c>
      <c r="C7232">
        <v>558636309</v>
      </c>
      <c r="D7232">
        <v>91522</v>
      </c>
    </row>
    <row r="7233" spans="1:4" x14ac:dyDescent="0.25">
      <c r="A7233" t="str">
        <f>T("   870332")</f>
        <v xml:space="preserve">   870332</v>
      </c>
      <c r="B7233" t="s">
        <v>479</v>
      </c>
      <c r="C7233">
        <v>210594106</v>
      </c>
      <c r="D7233">
        <v>38611</v>
      </c>
    </row>
    <row r="7234" spans="1:4" x14ac:dyDescent="0.25">
      <c r="A7234" t="str">
        <f>T("   870333")</f>
        <v xml:space="preserve">   870333</v>
      </c>
      <c r="B7234" t="s">
        <v>480</v>
      </c>
      <c r="C7234">
        <v>245405537</v>
      </c>
      <c r="D7234">
        <v>27464</v>
      </c>
    </row>
    <row r="7235" spans="1:4" x14ac:dyDescent="0.25">
      <c r="A7235" t="str">
        <f>T("   870421")</f>
        <v xml:space="preserve">   870421</v>
      </c>
      <c r="B7235" t="s">
        <v>481</v>
      </c>
      <c r="C7235">
        <v>122067587</v>
      </c>
      <c r="D7235">
        <v>42086</v>
      </c>
    </row>
    <row r="7236" spans="1:4" x14ac:dyDescent="0.25">
      <c r="A7236" t="str">
        <f>T("   870422")</f>
        <v xml:space="preserve">   870422</v>
      </c>
      <c r="B7236" t="s">
        <v>482</v>
      </c>
      <c r="C7236">
        <v>2000000</v>
      </c>
      <c r="D7236">
        <v>10340</v>
      </c>
    </row>
    <row r="7237" spans="1:4" x14ac:dyDescent="0.25">
      <c r="A7237" t="str">
        <f>T("   870590")</f>
        <v xml:space="preserve">   870590</v>
      </c>
      <c r="B7237" t="s">
        <v>486</v>
      </c>
      <c r="C7237">
        <v>23885721</v>
      </c>
      <c r="D7237">
        <v>2000</v>
      </c>
    </row>
    <row r="7238" spans="1:4" x14ac:dyDescent="0.25">
      <c r="A7238" t="str">
        <f>T("   870899")</f>
        <v xml:space="preserve">   870899</v>
      </c>
      <c r="B7238"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7238">
        <v>42586599</v>
      </c>
      <c r="D7238">
        <v>2302.25</v>
      </c>
    </row>
    <row r="7239" spans="1:4" x14ac:dyDescent="0.25">
      <c r="A7239" t="str">
        <f>T("   871110")</f>
        <v xml:space="preserve">   871110</v>
      </c>
      <c r="B7239" t="str">
        <f>T("   Cyclomoteurs, à moteur à piston alternatif, cylindrée &lt;= 50 cm³, y.c. cycles à moteur auxiliaire")</f>
        <v xml:space="preserve">   Cyclomoteurs, à moteur à piston alternatif, cylindrée &lt;= 50 cm³, y.c. cycles à moteur auxiliaire</v>
      </c>
      <c r="C7239">
        <v>215000</v>
      </c>
      <c r="D7239">
        <v>175</v>
      </c>
    </row>
    <row r="7240" spans="1:4" x14ac:dyDescent="0.25">
      <c r="A7240" t="str">
        <f>T("   871120")</f>
        <v xml:space="preserve">   871120</v>
      </c>
      <c r="B7240" t="str">
        <f>T("   Motocycles à moteur à piston alternatif, cylindrée &gt; 50 cm³ mais &lt;= 250 cm³")</f>
        <v xml:space="preserve">   Motocycles à moteur à piston alternatif, cylindrée &gt; 50 cm³ mais &lt;= 250 cm³</v>
      </c>
      <c r="C7240">
        <v>84534353</v>
      </c>
      <c r="D7240">
        <v>23304</v>
      </c>
    </row>
    <row r="7241" spans="1:4" x14ac:dyDescent="0.25">
      <c r="A7241" t="str">
        <f>T("   871130")</f>
        <v xml:space="preserve">   871130</v>
      </c>
      <c r="B7241" t="str">
        <f>T("   Motocycles à moteur à piston alternatif, cylindrée &gt; 250 cm³ mais &lt;= 500 cm³")</f>
        <v xml:space="preserve">   Motocycles à moteur à piston alternatif, cylindrée &gt; 250 cm³ mais &lt;= 500 cm³</v>
      </c>
      <c r="C7241">
        <v>1000000</v>
      </c>
      <c r="D7241">
        <v>200</v>
      </c>
    </row>
    <row r="7242" spans="1:4" x14ac:dyDescent="0.25">
      <c r="A7242" t="str">
        <f>T("   871200")</f>
        <v xml:space="preserve">   871200</v>
      </c>
      <c r="B7242" t="str">
        <f>T("   BICYCLETTES ET AUTRES CYCLES, -Y.C. LES TRIPORTEURS-, SANS MOTEUR")</f>
        <v xml:space="preserve">   BICYCLETTES ET AUTRES CYCLES, -Y.C. LES TRIPORTEURS-, SANS MOTEUR</v>
      </c>
      <c r="C7242">
        <v>2350961</v>
      </c>
      <c r="D7242">
        <v>8450</v>
      </c>
    </row>
    <row r="7243" spans="1:4" x14ac:dyDescent="0.25">
      <c r="A7243" t="str">
        <f>T("   900659")</f>
        <v xml:space="preserve">   900659</v>
      </c>
      <c r="B7243" t="s">
        <v>493</v>
      </c>
      <c r="C7243">
        <v>11362089</v>
      </c>
      <c r="D7243">
        <v>7777</v>
      </c>
    </row>
    <row r="7244" spans="1:4" x14ac:dyDescent="0.25">
      <c r="A7244" t="str">
        <f>T("   902620")</f>
        <v xml:space="preserve">   902620</v>
      </c>
      <c r="B7244" t="str">
        <f>T("   Instruments et appareils pour la mesure ou le contrôle de la pression des liquides ou des gaz (à l'excl. des instruments et appareils pour la régulation ou le contrôle automatiques)")</f>
        <v xml:space="preserve">   Instruments et appareils pour la mesure ou le contrôle de la pression des liquides ou des gaz (à l'excl. des instruments et appareils pour la régulation ou le contrôle automatiques)</v>
      </c>
      <c r="C7244">
        <v>21188</v>
      </c>
      <c r="D7244">
        <v>0.25</v>
      </c>
    </row>
    <row r="7245" spans="1:4" x14ac:dyDescent="0.25">
      <c r="A7245" t="str">
        <f>T("   940330")</f>
        <v xml:space="preserve">   940330</v>
      </c>
      <c r="B7245" t="str">
        <f>T("   Meubles de bureau en bois (sauf sièges)")</f>
        <v xml:space="preserve">   Meubles de bureau en bois (sauf sièges)</v>
      </c>
      <c r="C7245">
        <v>106571</v>
      </c>
      <c r="D7245">
        <v>50</v>
      </c>
    </row>
    <row r="7246" spans="1:4" x14ac:dyDescent="0.25">
      <c r="A7246" t="str">
        <f>T("   940350")</f>
        <v xml:space="preserve">   940350</v>
      </c>
      <c r="B7246" t="str">
        <f>T("   Meubles pour chambres à coucher, en bois (sauf sièges)")</f>
        <v xml:space="preserve">   Meubles pour chambres à coucher, en bois (sauf sièges)</v>
      </c>
      <c r="C7246">
        <v>5850000</v>
      </c>
      <c r="D7246">
        <v>7845</v>
      </c>
    </row>
    <row r="7247" spans="1:4" x14ac:dyDescent="0.25">
      <c r="A7247" t="str">
        <f>T("KE")</f>
        <v>KE</v>
      </c>
      <c r="B7247" t="str">
        <f>T("Kenya")</f>
        <v>Kenya</v>
      </c>
    </row>
    <row r="7248" spans="1:4" x14ac:dyDescent="0.25">
      <c r="A7248" t="str">
        <f>T("   ZZ_Total_Produit_SH6")</f>
        <v xml:space="preserve">   ZZ_Total_Produit_SH6</v>
      </c>
      <c r="B7248" t="str">
        <f>T("   ZZ_Total_Produit_SH6")</f>
        <v xml:space="preserve">   ZZ_Total_Produit_SH6</v>
      </c>
      <c r="C7248">
        <v>54803193</v>
      </c>
      <c r="D7248">
        <v>58135</v>
      </c>
    </row>
    <row r="7249" spans="1:4" x14ac:dyDescent="0.25">
      <c r="A7249" t="str">
        <f>T("   530410")</f>
        <v xml:space="preserve">   530410</v>
      </c>
      <c r="B7249" t="str">
        <f>T("   Sisal et autres fibres textiles du genre 'Agave', bruts")</f>
        <v xml:space="preserve">   Sisal et autres fibres textiles du genre 'Agave', bruts</v>
      </c>
      <c r="C7249">
        <v>26752524</v>
      </c>
      <c r="D7249">
        <v>29000</v>
      </c>
    </row>
    <row r="7250" spans="1:4" x14ac:dyDescent="0.25">
      <c r="A7250" t="str">
        <f>T("   530490")</f>
        <v xml:space="preserve">   530490</v>
      </c>
      <c r="B7250" t="str">
        <f>T("   Sisal et autres fibres textiles du genre 'Agave', travaillés mais non filés; étoupes et déchets de ces fibres, y.c. les déchets de fils et les effilochés")</f>
        <v xml:space="preserve">   Sisal et autres fibres textiles du genre 'Agave', travaillés mais non filés; étoupes et déchets de ces fibres, y.c. les déchets de fils et les effilochés</v>
      </c>
      <c r="C7250">
        <v>27890669</v>
      </c>
      <c r="D7250">
        <v>29000</v>
      </c>
    </row>
    <row r="7251" spans="1:4" x14ac:dyDescent="0.25">
      <c r="A7251" t="str">
        <f>T("   871493")</f>
        <v xml:space="preserve">   871493</v>
      </c>
      <c r="B7251" t="str">
        <f>T("   Moyeux (autres que les moyeux à frein) et pignons de roues libres, de bicyclettes")</f>
        <v xml:space="preserve">   Moyeux (autres que les moyeux à frein) et pignons de roues libres, de bicyclettes</v>
      </c>
      <c r="C7251">
        <v>160000</v>
      </c>
      <c r="D7251">
        <v>135</v>
      </c>
    </row>
    <row r="7252" spans="1:4" x14ac:dyDescent="0.25">
      <c r="A7252" t="str">
        <f>T("KH")</f>
        <v>KH</v>
      </c>
      <c r="B7252" t="str">
        <f>T("Cambodge")</f>
        <v>Cambodge</v>
      </c>
    </row>
    <row r="7253" spans="1:4" x14ac:dyDescent="0.25">
      <c r="A7253" t="str">
        <f>T("   ZZ_Total_Produit_SH6")</f>
        <v xml:space="preserve">   ZZ_Total_Produit_SH6</v>
      </c>
      <c r="B7253" t="str">
        <f>T("   ZZ_Total_Produit_SH6")</f>
        <v xml:space="preserve">   ZZ_Total_Produit_SH6</v>
      </c>
      <c r="C7253">
        <v>4323432</v>
      </c>
      <c r="D7253">
        <v>1134</v>
      </c>
    </row>
    <row r="7254" spans="1:4" x14ac:dyDescent="0.25">
      <c r="A7254" t="str">
        <f>T("   300490")</f>
        <v xml:space="preserve">   300490</v>
      </c>
      <c r="B7254" t="s">
        <v>78</v>
      </c>
      <c r="C7254">
        <v>4323432</v>
      </c>
      <c r="D7254">
        <v>1134</v>
      </c>
    </row>
    <row r="7255" spans="1:4" x14ac:dyDescent="0.25">
      <c r="A7255" t="str">
        <f>T("KI")</f>
        <v>KI</v>
      </c>
      <c r="B7255" t="str">
        <f>T("Kiribati")</f>
        <v>Kiribati</v>
      </c>
    </row>
    <row r="7256" spans="1:4" x14ac:dyDescent="0.25">
      <c r="A7256" t="str">
        <f>T("   ZZ_Total_Produit_SH6")</f>
        <v xml:space="preserve">   ZZ_Total_Produit_SH6</v>
      </c>
      <c r="B7256" t="str">
        <f>T("   ZZ_Total_Produit_SH6")</f>
        <v xml:space="preserve">   ZZ_Total_Produit_SH6</v>
      </c>
      <c r="C7256">
        <v>800000</v>
      </c>
      <c r="D7256">
        <v>222</v>
      </c>
    </row>
    <row r="7257" spans="1:4" x14ac:dyDescent="0.25">
      <c r="A7257" t="str">
        <f>T("   621040")</f>
        <v xml:space="preserve">   621040</v>
      </c>
      <c r="B7257" t="s">
        <v>272</v>
      </c>
      <c r="C7257">
        <v>600000</v>
      </c>
      <c r="D7257">
        <v>122</v>
      </c>
    </row>
    <row r="7258" spans="1:4" x14ac:dyDescent="0.25">
      <c r="A7258" t="str">
        <f>T("   821110")</f>
        <v xml:space="preserve">   821110</v>
      </c>
      <c r="B7258" t="str">
        <f>T("   Assortiments de couteaux du n° 8211; assortiments dans lesquels les couteaux du n° 8211 sont plus nombreux que d'autres articles")</f>
        <v xml:space="preserve">   Assortiments de couteaux du n° 8211; assortiments dans lesquels les couteaux du n° 8211 sont plus nombreux que d'autres articles</v>
      </c>
      <c r="C7258">
        <v>200000</v>
      </c>
      <c r="D7258">
        <v>100</v>
      </c>
    </row>
    <row r="7259" spans="1:4" x14ac:dyDescent="0.25">
      <c r="A7259" t="str">
        <f>T("KN")</f>
        <v>KN</v>
      </c>
      <c r="B7259" t="str">
        <f>T("Saint Kitts et Nevis")</f>
        <v>Saint Kitts et Nevis</v>
      </c>
    </row>
    <row r="7260" spans="1:4" x14ac:dyDescent="0.25">
      <c r="A7260" t="str">
        <f>T("   ZZ_Total_Produit_SH6")</f>
        <v xml:space="preserve">   ZZ_Total_Produit_SH6</v>
      </c>
      <c r="B7260" t="str">
        <f>T("   ZZ_Total_Produit_SH6")</f>
        <v xml:space="preserve">   ZZ_Total_Produit_SH6</v>
      </c>
      <c r="C7260">
        <v>7834942</v>
      </c>
      <c r="D7260">
        <v>11003</v>
      </c>
    </row>
    <row r="7261" spans="1:4" x14ac:dyDescent="0.25">
      <c r="A7261" t="str">
        <f>T("   420229")</f>
        <v xml:space="preserve">   420229</v>
      </c>
      <c r="B7261" t="str">
        <f>T("   Sacs à main, même à bandoulière, y.c. ceux sans poignée, à surface extérieure en fibre vulcanisée ou en carton, ou recouverts, en totalité ou en majeure partie, de ces mêmes matières ou de papier")</f>
        <v xml:space="preserve">   Sacs à main, même à bandoulière, y.c. ceux sans poignée, à surface extérieure en fibre vulcanisée ou en carton, ou recouverts, en totalité ou en majeure partie, de ces mêmes matières ou de papier</v>
      </c>
      <c r="C7261">
        <v>7647000</v>
      </c>
      <c r="D7261">
        <v>11000</v>
      </c>
    </row>
    <row r="7262" spans="1:4" x14ac:dyDescent="0.25">
      <c r="A7262" t="str">
        <f>T("   851780")</f>
        <v xml:space="preserve">   851780</v>
      </c>
      <c r="B7262" t="s">
        <v>453</v>
      </c>
      <c r="C7262">
        <v>187942</v>
      </c>
      <c r="D7262">
        <v>3</v>
      </c>
    </row>
    <row r="7263" spans="1:4" x14ac:dyDescent="0.25">
      <c r="A7263" t="str">
        <f>T("KP")</f>
        <v>KP</v>
      </c>
      <c r="B7263" t="str">
        <f>T("Corée, Rép. Populaire Démocratique")</f>
        <v>Corée, Rép. Populaire Démocratique</v>
      </c>
    </row>
    <row r="7264" spans="1:4" x14ac:dyDescent="0.25">
      <c r="A7264" t="str">
        <f>T("   ZZ_Total_Produit_SH6")</f>
        <v xml:space="preserve">   ZZ_Total_Produit_SH6</v>
      </c>
      <c r="B7264" t="str">
        <f>T("   ZZ_Total_Produit_SH6")</f>
        <v xml:space="preserve">   ZZ_Total_Produit_SH6</v>
      </c>
      <c r="C7264">
        <v>33137316</v>
      </c>
      <c r="D7264">
        <v>27134</v>
      </c>
    </row>
    <row r="7265" spans="1:4" x14ac:dyDescent="0.25">
      <c r="A7265" t="str">
        <f>T("   390120")</f>
        <v xml:space="preserve">   390120</v>
      </c>
      <c r="B7265" t="str">
        <f>T("   Polyéthylène d'une densité &gt;= 0,94, sous formes primaires")</f>
        <v xml:space="preserve">   Polyéthylène d'une densité &gt;= 0,94, sous formes primaires</v>
      </c>
      <c r="C7265">
        <v>14103140</v>
      </c>
      <c r="D7265">
        <v>17570</v>
      </c>
    </row>
    <row r="7266" spans="1:4" x14ac:dyDescent="0.25">
      <c r="A7266" t="str">
        <f>T("   841510")</f>
        <v xml:space="preserve">   841510</v>
      </c>
      <c r="B7266" t="s">
        <v>395</v>
      </c>
      <c r="C7266">
        <v>10924000</v>
      </c>
      <c r="D7266">
        <v>5009</v>
      </c>
    </row>
    <row r="7267" spans="1:4" x14ac:dyDescent="0.25">
      <c r="A7267" t="str">
        <f>T("   841829")</f>
        <v xml:space="preserve">   841829</v>
      </c>
      <c r="B7267" t="str">
        <f>T("   Réfrigérateurs ménagers à absorption, non-électriques")</f>
        <v xml:space="preserve">   Réfrigérateurs ménagers à absorption, non-électriques</v>
      </c>
      <c r="C7267">
        <v>7650000</v>
      </c>
      <c r="D7267">
        <v>4500</v>
      </c>
    </row>
    <row r="7268" spans="1:4" x14ac:dyDescent="0.25">
      <c r="A7268" t="str">
        <f>T("   900490")</f>
        <v xml:space="preserve">   900490</v>
      </c>
      <c r="B7268" t="str">
        <f>T("   Lunettes correctrices, protectrices ou autres et articles simil. (à l'excl. des lunettes pour tests visuels, des lunettes solaires, des verres de contact, des verres de lunetterie et des montures de lunettes)")</f>
        <v xml:space="preserve">   Lunettes correctrices, protectrices ou autres et articles simil. (à l'excl. des lunettes pour tests visuels, des lunettes solaires, des verres de contact, des verres de lunetterie et des montures de lunettes)</v>
      </c>
      <c r="C7268">
        <v>460176</v>
      </c>
      <c r="D7268">
        <v>55</v>
      </c>
    </row>
    <row r="7269" spans="1:4" x14ac:dyDescent="0.25">
      <c r="A7269" t="str">
        <f>T("KR")</f>
        <v>KR</v>
      </c>
      <c r="B7269" t="str">
        <f>T("Corée, République de")</f>
        <v>Corée, République de</v>
      </c>
    </row>
    <row r="7270" spans="1:4" x14ac:dyDescent="0.25">
      <c r="A7270" t="str">
        <f>T("   ZZ_Total_Produit_SH6")</f>
        <v xml:space="preserve">   ZZ_Total_Produit_SH6</v>
      </c>
      <c r="B7270" t="str">
        <f>T("   ZZ_Total_Produit_SH6")</f>
        <v xml:space="preserve">   ZZ_Total_Produit_SH6</v>
      </c>
      <c r="C7270">
        <v>1925459019</v>
      </c>
      <c r="D7270">
        <v>2318639.5</v>
      </c>
    </row>
    <row r="7271" spans="1:4" x14ac:dyDescent="0.25">
      <c r="A7271" t="str">
        <f>T("   030379")</f>
        <v xml:space="preserve">   030379</v>
      </c>
      <c r="B7271" t="s">
        <v>15</v>
      </c>
      <c r="C7271">
        <v>11250370</v>
      </c>
      <c r="D7271">
        <v>50000</v>
      </c>
    </row>
    <row r="7272" spans="1:4" x14ac:dyDescent="0.25">
      <c r="A7272" t="str">
        <f>T("   300590")</f>
        <v xml:space="preserve">   300590</v>
      </c>
      <c r="B7272" t="s">
        <v>79</v>
      </c>
      <c r="C7272">
        <v>2835864</v>
      </c>
      <c r="D7272">
        <v>590</v>
      </c>
    </row>
    <row r="7273" spans="1:4" x14ac:dyDescent="0.25">
      <c r="A7273" t="str">
        <f>T("   370390")</f>
        <v xml:space="preserve">   370390</v>
      </c>
      <c r="B7273" t="str">
        <f>T("   PAPIERS, CARTONS ET TEXTILES, PHOTOGRAPHIQUES, SENSIBILISÉS, NON-IMPRESSIONNÉS, POUR LA PHOTOGRAPHIE EN MONOCHROME (À L'EXCL. DES PRODUITS EN ROULEAUX D'UNE LARGEUR &gt; 610 MM)")</f>
        <v xml:space="preserve">   PAPIERS, CARTONS ET TEXTILES, PHOTOGRAPHIQUES, SENSIBILISÉS, NON-IMPRESSIONNÉS, POUR LA PHOTOGRAPHIE EN MONOCHROME (À L'EXCL. DES PRODUITS EN ROULEAUX D'UNE LARGEUR &gt; 610 MM)</v>
      </c>
      <c r="C7273">
        <v>1102670</v>
      </c>
      <c r="D7273">
        <v>339</v>
      </c>
    </row>
    <row r="7274" spans="1:4" x14ac:dyDescent="0.25">
      <c r="A7274" t="str">
        <f>T("   401110")</f>
        <v xml:space="preserve">   401110</v>
      </c>
      <c r="B7274" t="str">
        <f>T("   Pneumatiques neufs, en caoutchouc, des types utilisés pour les voitures de tourisme, y.c. les voitures du type 'break' et les voitures de course")</f>
        <v xml:space="preserve">   Pneumatiques neufs, en caoutchouc, des types utilisés pour les voitures de tourisme, y.c. les voitures du type 'break' et les voitures de course</v>
      </c>
      <c r="C7274">
        <v>66358255</v>
      </c>
      <c r="D7274">
        <v>23854</v>
      </c>
    </row>
    <row r="7275" spans="1:4" x14ac:dyDescent="0.25">
      <c r="A7275" t="str">
        <f>T("   420229")</f>
        <v xml:space="preserve">   420229</v>
      </c>
      <c r="B7275" t="str">
        <f>T("   Sacs à main, même à bandoulière, y.c. ceux sans poignée, à surface extérieure en fibre vulcanisée ou en carton, ou recouverts, en totalité ou en majeure partie, de ces mêmes matières ou de papier")</f>
        <v xml:space="preserve">   Sacs à main, même à bandoulière, y.c. ceux sans poignée, à surface extérieure en fibre vulcanisée ou en carton, ou recouverts, en totalité ou en majeure partie, de ces mêmes matières ou de papier</v>
      </c>
      <c r="C7275">
        <v>8558129</v>
      </c>
      <c r="D7275">
        <v>12300</v>
      </c>
    </row>
    <row r="7276" spans="1:4" x14ac:dyDescent="0.25">
      <c r="A7276" t="str">
        <f>T("   420299")</f>
        <v xml:space="preserve">   420299</v>
      </c>
      <c r="B7276" t="s">
        <v>164</v>
      </c>
      <c r="C7276">
        <v>32788542</v>
      </c>
      <c r="D7276">
        <v>32770</v>
      </c>
    </row>
    <row r="7277" spans="1:4" x14ac:dyDescent="0.25">
      <c r="A7277" t="str">
        <f>T("   420330")</f>
        <v xml:space="preserve">   420330</v>
      </c>
      <c r="B7277" t="str">
        <f>T("   Ceintures, ceinturons et baudriers, en cuir naturel ou reconstitué")</f>
        <v xml:space="preserve">   Ceintures, ceinturons et baudriers, en cuir naturel ou reconstitué</v>
      </c>
      <c r="C7277">
        <v>182709</v>
      </c>
      <c r="D7277">
        <v>110</v>
      </c>
    </row>
    <row r="7278" spans="1:4" x14ac:dyDescent="0.25">
      <c r="A7278" t="str">
        <f>T("   490199")</f>
        <v xml:space="preserve">   490199</v>
      </c>
      <c r="B7278"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7278">
        <v>23906623</v>
      </c>
      <c r="D7278">
        <v>13350</v>
      </c>
    </row>
    <row r="7279" spans="1:4" x14ac:dyDescent="0.25">
      <c r="A7279" t="str">
        <f>T("   610990")</f>
        <v xml:space="preserve">   610990</v>
      </c>
      <c r="B7279" t="str">
        <f>T("   T-shirts et maillots de corps, en bonneterie, de matières textiles (sauf de coton)")</f>
        <v xml:space="preserve">   T-shirts et maillots de corps, en bonneterie, de matières textiles (sauf de coton)</v>
      </c>
      <c r="C7279">
        <v>6560</v>
      </c>
      <c r="D7279">
        <v>64</v>
      </c>
    </row>
    <row r="7280" spans="1:4" x14ac:dyDescent="0.25">
      <c r="A7280" t="str">
        <f>T("   630900")</f>
        <v xml:space="preserve">   630900</v>
      </c>
      <c r="B7280" t="s">
        <v>280</v>
      </c>
      <c r="C7280">
        <v>1198924985</v>
      </c>
      <c r="D7280">
        <v>1893645</v>
      </c>
    </row>
    <row r="7281" spans="1:4" x14ac:dyDescent="0.25">
      <c r="A7281" t="str">
        <f>T("   640299")</f>
        <v xml:space="preserve">   640299</v>
      </c>
      <c r="B7281" t="s">
        <v>285</v>
      </c>
      <c r="C7281">
        <v>2930746</v>
      </c>
      <c r="D7281">
        <v>1500</v>
      </c>
    </row>
    <row r="7282" spans="1:4" x14ac:dyDescent="0.25">
      <c r="A7282" t="str">
        <f>T("   690890")</f>
        <v xml:space="preserve">   690890</v>
      </c>
      <c r="B7282" t="s">
        <v>311</v>
      </c>
      <c r="C7282">
        <v>12603550</v>
      </c>
      <c r="D7282">
        <v>18800</v>
      </c>
    </row>
    <row r="7283" spans="1:4" x14ac:dyDescent="0.25">
      <c r="A7283" t="str">
        <f>T("   701399")</f>
        <v xml:space="preserve">   701399</v>
      </c>
      <c r="B7283" t="s">
        <v>328</v>
      </c>
      <c r="C7283">
        <v>3017508</v>
      </c>
      <c r="D7283">
        <v>2638</v>
      </c>
    </row>
    <row r="7284" spans="1:4" x14ac:dyDescent="0.25">
      <c r="A7284" t="str">
        <f>T("   830300")</f>
        <v xml:space="preserve">   830300</v>
      </c>
      <c r="B7284" t="str">
        <f>T("   Coffres-forts, portes blindées et compartiments pour chambres fortes, coffres et cassettes de sûreté et articles simil., en métaux communs")</f>
        <v xml:space="preserve">   Coffres-forts, portes blindées et compartiments pour chambres fortes, coffres et cassettes de sûreté et articles simil., en métaux communs</v>
      </c>
      <c r="C7284">
        <v>43594523</v>
      </c>
      <c r="D7284">
        <v>48206</v>
      </c>
    </row>
    <row r="7285" spans="1:4" x14ac:dyDescent="0.25">
      <c r="A7285" t="str">
        <f>T("   841480")</f>
        <v xml:space="preserve">   841480</v>
      </c>
      <c r="B7285" t="s">
        <v>394</v>
      </c>
      <c r="C7285">
        <v>786757</v>
      </c>
      <c r="D7285">
        <v>920</v>
      </c>
    </row>
    <row r="7286" spans="1:4" x14ac:dyDescent="0.25">
      <c r="A7286" t="str">
        <f>T("   841510")</f>
        <v xml:space="preserve">   841510</v>
      </c>
      <c r="B7286" t="s">
        <v>395</v>
      </c>
      <c r="C7286">
        <v>159857</v>
      </c>
      <c r="D7286">
        <v>130</v>
      </c>
    </row>
    <row r="7287" spans="1:4" x14ac:dyDescent="0.25">
      <c r="A7287" t="str">
        <f>T("   841590")</f>
        <v xml:space="preserve">   841590</v>
      </c>
      <c r="B7287" t="str">
        <f>T("   Parties de machines et appareils pour le conditionnement de l'air comprenant un ventilateur à moteur et des dispositifs propres à modifier la température et l'humidité de l'air, n.d.a.")</f>
        <v xml:space="preserve">   Parties de machines et appareils pour le conditionnement de l'air comprenant un ventilateur à moteur et des dispositifs propres à modifier la température et l'humidité de l'air, n.d.a.</v>
      </c>
      <c r="C7287">
        <v>944113</v>
      </c>
      <c r="D7287">
        <v>1105</v>
      </c>
    </row>
    <row r="7288" spans="1:4" x14ac:dyDescent="0.25">
      <c r="A7288" t="str">
        <f>T("   841810")</f>
        <v xml:space="preserve">   841810</v>
      </c>
      <c r="B7288" t="str">
        <f>T("   Réfrigérateurs et congélateurs-conservateurs combinés, avec portes extérieures séparées")</f>
        <v xml:space="preserve">   Réfrigérateurs et congélateurs-conservateurs combinés, avec portes extérieures séparées</v>
      </c>
      <c r="C7288">
        <v>5071883</v>
      </c>
      <c r="D7288">
        <v>2919</v>
      </c>
    </row>
    <row r="7289" spans="1:4" x14ac:dyDescent="0.25">
      <c r="A7289" t="str">
        <f>T("   841830")</f>
        <v xml:space="preserve">   841830</v>
      </c>
      <c r="B7289" t="str">
        <f>T("   Meubles congélateurs-conservateurs du type coffre, capacité &lt;= 800 l")</f>
        <v xml:space="preserve">   Meubles congélateurs-conservateurs du type coffre, capacité &lt;= 800 l</v>
      </c>
      <c r="C7289">
        <v>5507314</v>
      </c>
      <c r="D7289">
        <v>6443</v>
      </c>
    </row>
    <row r="7290" spans="1:4" x14ac:dyDescent="0.25">
      <c r="A7290" t="str">
        <f>T("   843691")</f>
        <v xml:space="preserve">   843691</v>
      </c>
      <c r="B7290" t="str">
        <f>T("   Parties de machines et appareils pour l'aviculture, n.d.a.")</f>
        <v xml:space="preserve">   Parties de machines et appareils pour l'aviculture, n.d.a.</v>
      </c>
      <c r="C7290">
        <v>1345892</v>
      </c>
      <c r="D7290">
        <v>99</v>
      </c>
    </row>
    <row r="7291" spans="1:4" x14ac:dyDescent="0.25">
      <c r="A7291" t="str">
        <f>T("   844359")</f>
        <v xml:space="preserve">   844359</v>
      </c>
      <c r="B7291" t="s">
        <v>418</v>
      </c>
      <c r="C7291">
        <v>2200162</v>
      </c>
      <c r="D7291">
        <v>8903</v>
      </c>
    </row>
    <row r="7292" spans="1:4" x14ac:dyDescent="0.25">
      <c r="A7292" t="str">
        <f>T("   847130")</f>
        <v xml:space="preserve">   847130</v>
      </c>
      <c r="B7292" t="str">
        <f>T("   Machines automatiques de traitement de l'information numériques, portatives, d'un poids &lt;= 10 kg, comportant au moins une unité centrale de traitement, un clavier et un écran (à l'excl. des unités périphériques)")</f>
        <v xml:space="preserve">   Machines automatiques de traitement de l'information numériques, portatives, d'un poids &lt;= 10 kg, comportant au moins une unité centrale de traitement, un clavier et un écran (à l'excl. des unités périphériques)</v>
      </c>
      <c r="C7292">
        <v>59812786</v>
      </c>
      <c r="D7292">
        <v>70010</v>
      </c>
    </row>
    <row r="7293" spans="1:4" x14ac:dyDescent="0.25">
      <c r="A7293" t="str">
        <f>T("   847180")</f>
        <v xml:space="preserve">   847180</v>
      </c>
      <c r="B7293" t="str">
        <f>T("   Unités de machines automatiques de traitement de l'information, numériques (à l'excl. des unités de traitement, unités d'entrée ou de sortie et unités de mémoire)")</f>
        <v xml:space="preserve">   Unités de machines automatiques de traitement de l'information, numériques (à l'excl. des unités de traitement, unités d'entrée ou de sortie et unités de mémoire)</v>
      </c>
      <c r="C7293">
        <v>15690250</v>
      </c>
      <c r="D7293">
        <v>10797</v>
      </c>
    </row>
    <row r="7294" spans="1:4" x14ac:dyDescent="0.25">
      <c r="A7294" t="str">
        <f>T("   847330")</f>
        <v xml:space="preserve">   847330</v>
      </c>
      <c r="B7294" t="str">
        <f>T("   Parties et accessoires pour machines automatiques de traitement de l'information ou pour autres machines du n° 8471, n.d.a.")</f>
        <v xml:space="preserve">   Parties et accessoires pour machines automatiques de traitement de l'information ou pour autres machines du n° 8471, n.d.a.</v>
      </c>
      <c r="C7294">
        <v>5113706</v>
      </c>
      <c r="D7294">
        <v>3</v>
      </c>
    </row>
    <row r="7295" spans="1:4" x14ac:dyDescent="0.25">
      <c r="A7295" t="str">
        <f>T("   850780")</f>
        <v xml:space="preserve">   850780</v>
      </c>
      <c r="B7295" t="str">
        <f>T("   Accumulateurs électriques (sauf hors d'usage et autres qu'au plomb, au nickel-cadmium ou au nickel-fer)")</f>
        <v xml:space="preserve">   Accumulateurs électriques (sauf hors d'usage et autres qu'au plomb, au nickel-cadmium ou au nickel-fer)</v>
      </c>
      <c r="C7295">
        <v>7878117</v>
      </c>
      <c r="D7295">
        <v>17800</v>
      </c>
    </row>
    <row r="7296" spans="1:4" x14ac:dyDescent="0.25">
      <c r="A7296" t="str">
        <f>T("   852190")</f>
        <v xml:space="preserve">   852190</v>
      </c>
      <c r="B7296" t="s">
        <v>458</v>
      </c>
      <c r="C7296">
        <v>3277000</v>
      </c>
      <c r="D7296">
        <v>10000</v>
      </c>
    </row>
    <row r="7297" spans="1:4" x14ac:dyDescent="0.25">
      <c r="A7297" t="str">
        <f>T("   852812")</f>
        <v xml:space="preserve">   852812</v>
      </c>
      <c r="B7297"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7297">
        <v>1660641</v>
      </c>
      <c r="D7297">
        <v>400</v>
      </c>
    </row>
    <row r="7298" spans="1:4" x14ac:dyDescent="0.25">
      <c r="A7298" t="str">
        <f>T("   870322")</f>
        <v xml:space="preserve">   870322</v>
      </c>
      <c r="B7298" t="s">
        <v>475</v>
      </c>
      <c r="C7298">
        <v>39783652</v>
      </c>
      <c r="D7298">
        <v>7345</v>
      </c>
    </row>
    <row r="7299" spans="1:4" x14ac:dyDescent="0.25">
      <c r="A7299" t="str">
        <f>T("   870323")</f>
        <v xml:space="preserve">   870323</v>
      </c>
      <c r="B7299" t="s">
        <v>476</v>
      </c>
      <c r="C7299">
        <v>297636556</v>
      </c>
      <c r="D7299">
        <v>52769</v>
      </c>
    </row>
    <row r="7300" spans="1:4" x14ac:dyDescent="0.25">
      <c r="A7300" t="str">
        <f>T("   870324")</f>
        <v xml:space="preserve">   870324</v>
      </c>
      <c r="B7300" t="s">
        <v>477</v>
      </c>
      <c r="C7300">
        <v>25052268</v>
      </c>
      <c r="D7300">
        <v>3930</v>
      </c>
    </row>
    <row r="7301" spans="1:4" x14ac:dyDescent="0.25">
      <c r="A7301" t="str">
        <f>T("   870891")</f>
        <v xml:space="preserve">   870891</v>
      </c>
      <c r="B7301" t="str">
        <f>T("   RADIATEURS ET LEURS PARTIES, POUR TRACTEURS, VÉHICULES POUR LE TRANSPORT DE &gt;= 10 PERSONNES, CHAUFFEUR INCLUS, VOITURES DE TOURISME, VÉHICULES POUR LE TRANSPORT DE MARCHANDISES ET VÉHICULES À USAGES SPÉCIAUX, N.D.A.")</f>
        <v xml:space="preserve">   RADIATEURS ET LEURS PARTIES, POUR TRACTEURS, VÉHICULES POUR LE TRANSPORT DE &gt;= 10 PERSONNES, CHAUFFEUR INCLUS, VOITURES DE TOURISME, VÉHICULES POUR LE TRANSPORT DE MARCHANDISES ET VÉHICULES À USAGES SPÉCIAUX, N.D.A.</v>
      </c>
      <c r="C7301">
        <v>435250</v>
      </c>
      <c r="D7301">
        <v>25</v>
      </c>
    </row>
    <row r="7302" spans="1:4" x14ac:dyDescent="0.25">
      <c r="A7302" t="str">
        <f>T("   870899")</f>
        <v xml:space="preserve">   870899</v>
      </c>
      <c r="B7302"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7302">
        <v>20526300</v>
      </c>
      <c r="D7302">
        <v>1802</v>
      </c>
    </row>
    <row r="7303" spans="1:4" x14ac:dyDescent="0.25">
      <c r="A7303" t="str">
        <f>T("   890399")</f>
        <v xml:space="preserve">   890399</v>
      </c>
      <c r="B7303" t="str">
        <f>T("   Bateaux, de plaisance ou de sport (sauf bateaux à moteur autre qu' à moteur hors-bord, bateaux à voile, même avec moteur auxiliaire, et bateaux gonflables); bateaux à rames et canoës")</f>
        <v xml:space="preserve">   Bateaux, de plaisance ou de sport (sauf bateaux à moteur autre qu' à moteur hors-bord, bateaux à voile, même avec moteur auxiliaire, et bateaux gonflables); bateaux à rames et canoës</v>
      </c>
      <c r="C7303">
        <v>1677725</v>
      </c>
      <c r="D7303">
        <v>109</v>
      </c>
    </row>
    <row r="7304" spans="1:4" x14ac:dyDescent="0.25">
      <c r="A7304" t="str">
        <f>T("   900490")</f>
        <v xml:space="preserve">   900490</v>
      </c>
      <c r="B7304" t="str">
        <f>T("   Lunettes correctrices, protectrices ou autres et articles simil. (à l'excl. des lunettes pour tests visuels, des lunettes solaires, des verres de contact, des verres de lunetterie et des montures de lunettes)")</f>
        <v xml:space="preserve">   Lunettes correctrices, protectrices ou autres et articles simil. (à l'excl. des lunettes pour tests visuels, des lunettes solaires, des verres de contact, des verres de lunetterie et des montures de lunettes)</v>
      </c>
      <c r="C7304">
        <v>893486</v>
      </c>
      <c r="D7304">
        <v>96</v>
      </c>
    </row>
    <row r="7305" spans="1:4" x14ac:dyDescent="0.25">
      <c r="A7305" t="str">
        <f>T("   900719")</f>
        <v xml:space="preserve">   900719</v>
      </c>
      <c r="B7305" t="str">
        <f>T("   Caméras cinématographiques, pour films d'une largeur &gt;= 16 mm (à l'excl. des films double-8 mm)")</f>
        <v xml:space="preserve">   Caméras cinématographiques, pour films d'une largeur &gt;= 16 mm (à l'excl. des films double-8 mm)</v>
      </c>
      <c r="C7305">
        <v>1602511</v>
      </c>
      <c r="D7305">
        <v>502</v>
      </c>
    </row>
    <row r="7306" spans="1:4" x14ac:dyDescent="0.25">
      <c r="A7306" t="str">
        <f>T("   901890")</f>
        <v xml:space="preserve">   901890</v>
      </c>
      <c r="B7306" t="str">
        <f>T("   Instruments et appareils pour la médecine, la chirurgie ou l'art vétérinaire, n.d.a.")</f>
        <v xml:space="preserve">   Instruments et appareils pour la médecine, la chirurgie ou l'art vétérinaire, n.d.a.</v>
      </c>
      <c r="C7306">
        <v>4139759</v>
      </c>
      <c r="D7306">
        <v>60.5</v>
      </c>
    </row>
    <row r="7307" spans="1:4" x14ac:dyDescent="0.25">
      <c r="A7307" t="str">
        <f>T("   902214")</f>
        <v xml:space="preserve">   902214</v>
      </c>
      <c r="B7307" t="str">
        <f>T("   Appareils à rayons X pour usages médicaux, chirurgicaux ou vétérinaires (à l'excl. des appareils pour l'art dentaire et des appareils de tomographie pilotés par une machine automatique de traitement de l'information)")</f>
        <v xml:space="preserve">   Appareils à rayons X pour usages médicaux, chirurgicaux ou vétérinaires (à l'excl. des appareils pour l'art dentaire et des appareils de tomographie pilotés par une machine automatique de traitement de l'information)</v>
      </c>
      <c r="C7307">
        <v>2291281</v>
      </c>
      <c r="D7307">
        <v>500</v>
      </c>
    </row>
    <row r="7308" spans="1:4" x14ac:dyDescent="0.25">
      <c r="A7308" t="str">
        <f>T("   902219")</f>
        <v xml:space="preserve">   902219</v>
      </c>
      <c r="B7308" t="str">
        <f>T("   Appareils à rayons X (à usage autre que médical, chirurgical, dentaire ou vétérinaire)")</f>
        <v xml:space="preserve">   Appareils à rayons X (à usage autre que médical, chirurgical, dentaire ou vétérinaire)</v>
      </c>
      <c r="C7308">
        <v>4074475</v>
      </c>
      <c r="D7308">
        <v>570</v>
      </c>
    </row>
    <row r="7309" spans="1:4" x14ac:dyDescent="0.25">
      <c r="A7309" t="str">
        <f>T("   902780")</f>
        <v xml:space="preserve">   902780</v>
      </c>
      <c r="B7309" t="str">
        <f>T("   Instruments et appareils pour analyses physiques ou chimiques, ou pour essais de viscosité, de porosité, de dilatation, de tension superficielle ou simil. ou pour mesures calorimétriques ou acoustiques ou photométriques, n.d.a.")</f>
        <v xml:space="preserve">   Instruments et appareils pour analyses physiques ou chimiques, ou pour essais de viscosité, de porosité, de dilatation, de tension superficielle ou simil. ou pour mesures calorimétriques ou acoustiques ou photométriques, n.d.a.</v>
      </c>
      <c r="C7309">
        <v>2795785</v>
      </c>
      <c r="D7309">
        <v>310</v>
      </c>
    </row>
    <row r="7310" spans="1:4" x14ac:dyDescent="0.25">
      <c r="A7310" t="str">
        <f>T("   940210")</f>
        <v xml:space="preserve">   940210</v>
      </c>
      <c r="B7310" t="str">
        <f>T("   Fauteuils de dentistes, fauteuils pour salons de coiffure et fauteuils simil., avec dispositif à la fois d'orientation et d'élévation, et leurs parties, n.d.a.")</f>
        <v xml:space="preserve">   Fauteuils de dentistes, fauteuils pour salons de coiffure et fauteuils simil., avec dispositif à la fois d'orientation et d'élévation, et leurs parties, n.d.a.</v>
      </c>
      <c r="C7310">
        <v>1438711</v>
      </c>
      <c r="D7310">
        <v>500</v>
      </c>
    </row>
    <row r="7311" spans="1:4" x14ac:dyDescent="0.25">
      <c r="A7311" t="str">
        <f>T("   960990")</f>
        <v xml:space="preserve">   960990</v>
      </c>
      <c r="B7311" t="str">
        <f>T("   Crayons (sauf crayons à gaine), pastels, fusains, craies à écrire ou à dessiner et craies de tailleurs")</f>
        <v xml:space="preserve">   Crayons (sauf crayons à gaine), pastels, fusains, craies à écrire ou à dessiner et craies de tailleurs</v>
      </c>
      <c r="C7311">
        <v>5601748</v>
      </c>
      <c r="D7311">
        <v>22426</v>
      </c>
    </row>
    <row r="7312" spans="1:4" x14ac:dyDescent="0.25">
      <c r="A7312" t="str">
        <f>T("KW")</f>
        <v>KW</v>
      </c>
      <c r="B7312" t="str">
        <f>T("Koweit")</f>
        <v>Koweit</v>
      </c>
    </row>
    <row r="7313" spans="1:4" x14ac:dyDescent="0.25">
      <c r="A7313" t="str">
        <f>T("   ZZ_Total_Produit_SH6")</f>
        <v xml:space="preserve">   ZZ_Total_Produit_SH6</v>
      </c>
      <c r="B7313" t="str">
        <f>T("   ZZ_Total_Produit_SH6")</f>
        <v xml:space="preserve">   ZZ_Total_Produit_SH6</v>
      </c>
      <c r="C7313">
        <v>133769296</v>
      </c>
      <c r="D7313">
        <v>44941</v>
      </c>
    </row>
    <row r="7314" spans="1:4" x14ac:dyDescent="0.25">
      <c r="A7314" t="str">
        <f>T("   420219")</f>
        <v xml:space="preserve">   420219</v>
      </c>
      <c r="B7314" t="s">
        <v>161</v>
      </c>
      <c r="C7314">
        <v>335545</v>
      </c>
      <c r="D7314">
        <v>2500</v>
      </c>
    </row>
    <row r="7315" spans="1:4" x14ac:dyDescent="0.25">
      <c r="A7315" t="str">
        <f>T("   611490")</f>
        <v xml:space="preserve">   611490</v>
      </c>
      <c r="B7315" t="str">
        <f>T("   Vêtements spéciaux destinés à des fins professionnelles, sportives ou autres n.d.a., en bonneterie, de matières textiles (sauf de laine, poils fins, coton, fibres synthétiques ou artificielles)")</f>
        <v xml:space="preserve">   Vêtements spéciaux destinés à des fins professionnelles, sportives ou autres n.d.a., en bonneterie, de matières textiles (sauf de laine, poils fins, coton, fibres synthétiques ou artificielles)</v>
      </c>
      <c r="C7315">
        <v>479350</v>
      </c>
      <c r="D7315">
        <v>4500</v>
      </c>
    </row>
    <row r="7316" spans="1:4" x14ac:dyDescent="0.25">
      <c r="A7316" t="str">
        <f>T("   620520")</f>
        <v xml:space="preserve">   620520</v>
      </c>
      <c r="B7316" t="str">
        <f>T("   Chemises et chemisettes, de coton, pour hommes ou garçonnets (autres qu'en bonneterie et sauf chemises de nuit et gilets de corps)")</f>
        <v xml:space="preserve">   Chemises et chemisettes, de coton, pour hommes ou garçonnets (autres qu'en bonneterie et sauf chemises de nuit et gilets de corps)</v>
      </c>
      <c r="C7316">
        <v>106571</v>
      </c>
      <c r="D7316">
        <v>200</v>
      </c>
    </row>
    <row r="7317" spans="1:4" x14ac:dyDescent="0.25">
      <c r="A7317" t="str">
        <f>T("   630790")</f>
        <v xml:space="preserve">   630790</v>
      </c>
      <c r="B7317" t="str">
        <f>T("   Articles de matières textiles, confectionnés, y.c. les patrons de vêtements n.d.a.")</f>
        <v xml:space="preserve">   Articles de matières textiles, confectionnés, y.c. les patrons de vêtements n.d.a.</v>
      </c>
      <c r="C7317">
        <v>47935</v>
      </c>
      <c r="D7317">
        <v>20</v>
      </c>
    </row>
    <row r="7318" spans="1:4" x14ac:dyDescent="0.25">
      <c r="A7318" t="str">
        <f>T("   630900")</f>
        <v xml:space="preserve">   630900</v>
      </c>
      <c r="B7318" t="s">
        <v>280</v>
      </c>
      <c r="C7318">
        <v>527285</v>
      </c>
      <c r="D7318">
        <v>5000</v>
      </c>
    </row>
    <row r="7319" spans="1:4" x14ac:dyDescent="0.25">
      <c r="A7319" t="str">
        <f>T("   640590")</f>
        <v xml:space="preserve">   640590</v>
      </c>
      <c r="B7319" t="s">
        <v>290</v>
      </c>
      <c r="C7319">
        <v>383480</v>
      </c>
      <c r="D7319">
        <v>2000</v>
      </c>
    </row>
    <row r="7320" spans="1:4" x14ac:dyDescent="0.25">
      <c r="A7320" t="str">
        <f>T("   730890")</f>
        <v xml:space="preserve">   730890</v>
      </c>
      <c r="B7320" t="s">
        <v>349</v>
      </c>
      <c r="C7320">
        <v>1156087</v>
      </c>
      <c r="D7320">
        <v>3880</v>
      </c>
    </row>
    <row r="7321" spans="1:4" x14ac:dyDescent="0.25">
      <c r="A7321" t="str">
        <f>T("   732399")</f>
        <v xml:space="preserve">   732399</v>
      </c>
      <c r="B7321" t="s">
        <v>362</v>
      </c>
      <c r="C7321">
        <v>6441941</v>
      </c>
      <c r="D7321">
        <v>7763</v>
      </c>
    </row>
    <row r="7322" spans="1:4" x14ac:dyDescent="0.25">
      <c r="A7322" t="str">
        <f>T("   842219")</f>
        <v xml:space="preserve">   842219</v>
      </c>
      <c r="B7322" t="str">
        <f>T("   Machines à laver la vaisselle (autres que de type ménager)")</f>
        <v xml:space="preserve">   Machines à laver la vaisselle (autres que de type ménager)</v>
      </c>
      <c r="C7322">
        <v>293071</v>
      </c>
      <c r="D7322">
        <v>2400</v>
      </c>
    </row>
    <row r="7323" spans="1:4" x14ac:dyDescent="0.25">
      <c r="A7323" t="str">
        <f>T("   847190")</f>
        <v xml:space="preserve">   847190</v>
      </c>
      <c r="B7323"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7323">
        <v>200000</v>
      </c>
      <c r="D7323">
        <v>29</v>
      </c>
    </row>
    <row r="7324" spans="1:4" x14ac:dyDescent="0.25">
      <c r="A7324" t="str">
        <f>T("   852739")</f>
        <v xml:space="preserve">   852739</v>
      </c>
      <c r="B7324" t="s">
        <v>464</v>
      </c>
      <c r="C7324">
        <v>193355</v>
      </c>
      <c r="D7324">
        <v>25</v>
      </c>
    </row>
    <row r="7325" spans="1:4" x14ac:dyDescent="0.25">
      <c r="A7325" t="str">
        <f>T("   852812")</f>
        <v xml:space="preserve">   852812</v>
      </c>
      <c r="B7325"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7325">
        <v>687699</v>
      </c>
      <c r="D7325">
        <v>75</v>
      </c>
    </row>
    <row r="7326" spans="1:4" x14ac:dyDescent="0.25">
      <c r="A7326" t="str">
        <f>T("   870322")</f>
        <v xml:space="preserve">   870322</v>
      </c>
      <c r="B7326" t="s">
        <v>475</v>
      </c>
      <c r="C7326">
        <v>1200525</v>
      </c>
      <c r="D7326">
        <v>1250</v>
      </c>
    </row>
    <row r="7327" spans="1:4" x14ac:dyDescent="0.25">
      <c r="A7327" t="str">
        <f>T("   870323")</f>
        <v xml:space="preserve">   870323</v>
      </c>
      <c r="B7327" t="s">
        <v>476</v>
      </c>
      <c r="C7327">
        <v>51922688</v>
      </c>
      <c r="D7327">
        <v>6870</v>
      </c>
    </row>
    <row r="7328" spans="1:4" x14ac:dyDescent="0.25">
      <c r="A7328" t="str">
        <f>T("   870324")</f>
        <v xml:space="preserve">   870324</v>
      </c>
      <c r="B7328" t="s">
        <v>477</v>
      </c>
      <c r="C7328">
        <v>45936000</v>
      </c>
      <c r="D7328">
        <v>2000</v>
      </c>
    </row>
    <row r="7329" spans="1:4" x14ac:dyDescent="0.25">
      <c r="A7329" t="str">
        <f>T("   870431")</f>
        <v xml:space="preserve">   870431</v>
      </c>
      <c r="B7329" t="s">
        <v>484</v>
      </c>
      <c r="C7329">
        <v>23238050</v>
      </c>
      <c r="D7329">
        <v>3000</v>
      </c>
    </row>
    <row r="7330" spans="1:4" x14ac:dyDescent="0.25">
      <c r="A7330" t="str">
        <f>T("   900999")</f>
        <v xml:space="preserve">   900999</v>
      </c>
      <c r="B7330" t="str">
        <f>T("   Parties et accessoires d'appareils de photocopie et de thermocopie, n.d.a. (à l'excl. des dispositifs automatiques d'alimentation en documents, des dispositifs d'alimentation en papier et des dispositifs de tri)")</f>
        <v xml:space="preserve">   Parties et accessoires d'appareils de photocopie et de thermocopie, n.d.a. (à l'excl. des dispositifs automatiques d'alimentation en documents, des dispositifs d'alimentation en papier et des dispositifs de tri)</v>
      </c>
      <c r="C7330">
        <v>300000</v>
      </c>
      <c r="D7330">
        <v>29</v>
      </c>
    </row>
    <row r="7331" spans="1:4" x14ac:dyDescent="0.25">
      <c r="A7331" t="str">
        <f>T("   940380")</f>
        <v xml:space="preserve">   940380</v>
      </c>
      <c r="B7331" t="str">
        <f>T("   Meubles en rotin, osier, bambou ou autres matières (sauf métal, bois et matières plastiques)")</f>
        <v xml:space="preserve">   Meubles en rotin, osier, bambou ou autres matières (sauf métal, bois et matières plastiques)</v>
      </c>
      <c r="C7331">
        <v>319714</v>
      </c>
      <c r="D7331">
        <v>3400</v>
      </c>
    </row>
    <row r="7332" spans="1:4" x14ac:dyDescent="0.25">
      <c r="A7332" t="str">
        <f>T("LA")</f>
        <v>LA</v>
      </c>
      <c r="B7332" t="str">
        <f>T("Lao, Rép. Démocratique Populaire")</f>
        <v>Lao, Rép. Démocratique Populaire</v>
      </c>
    </row>
    <row r="7333" spans="1:4" x14ac:dyDescent="0.25">
      <c r="A7333" t="str">
        <f>T("   ZZ_Total_Produit_SH6")</f>
        <v xml:space="preserve">   ZZ_Total_Produit_SH6</v>
      </c>
      <c r="B7333" t="str">
        <f>T("   ZZ_Total_Produit_SH6")</f>
        <v xml:space="preserve">   ZZ_Total_Produit_SH6</v>
      </c>
      <c r="C7333">
        <v>861275</v>
      </c>
      <c r="D7333">
        <v>199</v>
      </c>
    </row>
    <row r="7334" spans="1:4" x14ac:dyDescent="0.25">
      <c r="A7334" t="str">
        <f>T("   843139")</f>
        <v xml:space="preserve">   843139</v>
      </c>
      <c r="B7334" t="str">
        <f>T("   Parties de machines et appareils du n° 8428, n.d.a.")</f>
        <v xml:space="preserve">   Parties de machines et appareils du n° 8428, n.d.a.</v>
      </c>
      <c r="C7334">
        <v>861275</v>
      </c>
      <c r="D7334">
        <v>199</v>
      </c>
    </row>
    <row r="7335" spans="1:4" x14ac:dyDescent="0.25">
      <c r="A7335" t="str">
        <f>T("LB")</f>
        <v>LB</v>
      </c>
      <c r="B7335" t="str">
        <f>T("Liban")</f>
        <v>Liban</v>
      </c>
    </row>
    <row r="7336" spans="1:4" x14ac:dyDescent="0.25">
      <c r="A7336" t="str">
        <f>T("   ZZ_Total_Produit_SH6")</f>
        <v xml:space="preserve">   ZZ_Total_Produit_SH6</v>
      </c>
      <c r="B7336" t="str">
        <f>T("   ZZ_Total_Produit_SH6")</f>
        <v xml:space="preserve">   ZZ_Total_Produit_SH6</v>
      </c>
      <c r="C7336">
        <v>1511441408.549</v>
      </c>
      <c r="D7336">
        <v>3287097.54</v>
      </c>
    </row>
    <row r="7337" spans="1:4" x14ac:dyDescent="0.25">
      <c r="A7337" t="str">
        <f>T("   030219")</f>
        <v xml:space="preserve">   030219</v>
      </c>
      <c r="B7337" t="str">
        <f>T("   Salmonidés, frais ou réfrigérés (à l'excl. des truites et des saumons du Pacifique, de l'Atlantique et du Danube)")</f>
        <v xml:space="preserve">   Salmonidés, frais ou réfrigérés (à l'excl. des truites et des saumons du Pacifique, de l'Atlantique et du Danube)</v>
      </c>
      <c r="C7337">
        <v>1096766</v>
      </c>
      <c r="D7337">
        <v>2835</v>
      </c>
    </row>
    <row r="7338" spans="1:4" x14ac:dyDescent="0.25">
      <c r="A7338" t="str">
        <f>T("   040229")</f>
        <v xml:space="preserve">   040229</v>
      </c>
      <c r="B7338" t="str">
        <f>T("   Lait et crème de lait, en poudre, en granulés ou sous d'autres formes solides, d'une teneur en poids de matières grasses &gt; 1,5%, avec addition de sucre ou d'autres édulcorants")</f>
        <v xml:space="preserve">   Lait et crème de lait, en poudre, en granulés ou sous d'autres formes solides, d'une teneur en poids de matières grasses &gt; 1,5%, avec addition de sucre ou d'autres édulcorants</v>
      </c>
      <c r="C7338">
        <v>38573661</v>
      </c>
      <c r="D7338">
        <v>26292</v>
      </c>
    </row>
    <row r="7339" spans="1:4" x14ac:dyDescent="0.25">
      <c r="A7339" t="str">
        <f>T("   040299")</f>
        <v xml:space="preserve">   040299</v>
      </c>
      <c r="B7339" t="str">
        <f>T("   Lait et crème de lait, concentrés, additionnés de sucre ou d'autres édulcorants (à l'excl. des laits et crèmes de lait en poudre, en granulés ou sous d'autres formes solides)")</f>
        <v xml:space="preserve">   Lait et crème de lait, concentrés, additionnés de sucre ou d'autres édulcorants (à l'excl. des laits et crèmes de lait en poudre, en granulés ou sous d'autres formes solides)</v>
      </c>
      <c r="C7339">
        <v>482432</v>
      </c>
      <c r="D7339">
        <v>2214</v>
      </c>
    </row>
    <row r="7340" spans="1:4" x14ac:dyDescent="0.25">
      <c r="A7340" t="str">
        <f>T("   040390")</f>
        <v xml:space="preserve">   040390</v>
      </c>
      <c r="B7340" t="str">
        <f>T("   Babeurre, lait et crème caillés, képhir et autres laits et crèmes fermentés ou acidifiés, même concentrés ou additionnés de sucre ou d'autres édulcorants ou aromatisés ou additionnés de fruits ou de cacao (à l'excl. des yoghourts)")</f>
        <v xml:space="preserve">   Babeurre, lait et crème caillés, képhir et autres laits et crèmes fermentés ou acidifiés, même concentrés ou additionnés de sucre ou d'autres édulcorants ou aromatisés ou additionnés de fruits ou de cacao (à l'excl. des yoghourts)</v>
      </c>
      <c r="C7340">
        <v>328355</v>
      </c>
      <c r="D7340">
        <v>874</v>
      </c>
    </row>
    <row r="7341" spans="1:4" x14ac:dyDescent="0.25">
      <c r="A7341" t="str">
        <f>T("   040510")</f>
        <v xml:space="preserve">   040510</v>
      </c>
      <c r="B7341" t="str">
        <f>T("   Beurre (sauf beurre déshydraté et ghee)")</f>
        <v xml:space="preserve">   Beurre (sauf beurre déshydraté et ghee)</v>
      </c>
      <c r="C7341">
        <v>827153</v>
      </c>
      <c r="D7341">
        <v>3432</v>
      </c>
    </row>
    <row r="7342" spans="1:4" x14ac:dyDescent="0.25">
      <c r="A7342" t="str">
        <f>T("   040630")</f>
        <v xml:space="preserve">   040630</v>
      </c>
      <c r="B7342" t="str">
        <f>T("   Fromages fondus (à l'excl. des fromages râpés ou en poudre)")</f>
        <v xml:space="preserve">   Fromages fondus (à l'excl. des fromages râpés ou en poudre)</v>
      </c>
      <c r="C7342">
        <v>298634</v>
      </c>
      <c r="D7342">
        <v>973</v>
      </c>
    </row>
    <row r="7343" spans="1:4" x14ac:dyDescent="0.25">
      <c r="A7343" t="str">
        <f>T("   040690")</f>
        <v xml:space="preserve">   040690</v>
      </c>
      <c r="B7343" t="s">
        <v>17</v>
      </c>
      <c r="C7343">
        <v>11847082</v>
      </c>
      <c r="D7343">
        <v>30117.8</v>
      </c>
    </row>
    <row r="7344" spans="1:4" x14ac:dyDescent="0.25">
      <c r="A7344" t="str">
        <f>T("   070190")</f>
        <v xml:space="preserve">   070190</v>
      </c>
      <c r="B7344" t="str">
        <f>T("   Pommes de terre, à l'état frais ou réfrigéré (à l'excl. des pommes de terre de semence)")</f>
        <v xml:space="preserve">   Pommes de terre, à l'état frais ou réfrigéré (à l'excl. des pommes de terre de semence)</v>
      </c>
      <c r="C7344">
        <v>10415255</v>
      </c>
      <c r="D7344">
        <v>30871</v>
      </c>
    </row>
    <row r="7345" spans="1:4" x14ac:dyDescent="0.25">
      <c r="A7345" t="str">
        <f>T("   070700")</f>
        <v xml:space="preserve">   070700</v>
      </c>
      <c r="B7345" t="str">
        <f>T("   Concombres et cornichons, à l'état frais ou réfrigéré")</f>
        <v xml:space="preserve">   Concombres et cornichons, à l'état frais ou réfrigéré</v>
      </c>
      <c r="C7345">
        <v>421828</v>
      </c>
      <c r="D7345">
        <v>1732</v>
      </c>
    </row>
    <row r="7346" spans="1:4" x14ac:dyDescent="0.25">
      <c r="A7346" t="str">
        <f>T("   071090")</f>
        <v xml:space="preserve">   071090</v>
      </c>
      <c r="B7346" t="str">
        <f>T("   Mélanges de légumes, non cuits ou cuits à l'eau ou à la vapeur, congelés")</f>
        <v xml:space="preserve">   Mélanges de légumes, non cuits ou cuits à l'eau ou à la vapeur, congelés</v>
      </c>
      <c r="C7346">
        <v>2891084</v>
      </c>
      <c r="D7346">
        <v>7548</v>
      </c>
    </row>
    <row r="7347" spans="1:4" x14ac:dyDescent="0.25">
      <c r="A7347" t="str">
        <f>T("   071120")</f>
        <v xml:space="preserve">   071120</v>
      </c>
      <c r="B7347" t="str">
        <f>T("   Olives, conservées provisoirement [p.ex. au moyen de gaz sulfureux ou dans de l'eau salée, soufrée ou additionnée d'autres substances servant à assurer provisoirement leur conservation], mais impropres à l'alimentation en l'état")</f>
        <v xml:space="preserve">   Olives, conservées provisoirement [p.ex. au moyen de gaz sulfureux ou dans de l'eau salée, soufrée ou additionnée d'autres substances servant à assurer provisoirement leur conservation], mais impropres à l'alimentation en l'état</v>
      </c>
      <c r="C7347">
        <v>569490</v>
      </c>
      <c r="D7347">
        <v>2614</v>
      </c>
    </row>
    <row r="7348" spans="1:4" x14ac:dyDescent="0.25">
      <c r="A7348" t="str">
        <f>T("   071190")</f>
        <v xml:space="preserve">   071190</v>
      </c>
      <c r="B7348" t="s">
        <v>20</v>
      </c>
      <c r="C7348">
        <v>431415</v>
      </c>
      <c r="D7348">
        <v>1500</v>
      </c>
    </row>
    <row r="7349" spans="1:4" x14ac:dyDescent="0.25">
      <c r="A7349" t="str">
        <f>T("   071290")</f>
        <v xml:space="preserve">   071290</v>
      </c>
      <c r="B7349" t="str">
        <f>T("   LÉGUMES ET MÉLANGES DE LÉGUMES, SÉCHÉS, MÊME COUPÉS EN MORCEAUX OU EN TRANCHES OU BIEN BROYÉS OU PULVÉRISÉS, MAIS NON AUTREMENT PRÉPARÉS (À L'EXCL. DES OIGNONS, DES CHAMPIGNONS ET DES TRUFFES, NON-MÉLANGÉS)")</f>
        <v xml:space="preserve">   LÉGUMES ET MÉLANGES DE LÉGUMES, SÉCHÉS, MÊME COUPÉS EN MORCEAUX OU EN TRANCHES OU BIEN BROYÉS OU PULVÉRISÉS, MAIS NON AUTREMENT PRÉPARÉS (À L'EXCL. DES OIGNONS, DES CHAMPIGNONS ET DES TRUFFES, NON-MÉLANGÉS)</v>
      </c>
      <c r="C7349">
        <v>241592</v>
      </c>
      <c r="D7349">
        <v>1059</v>
      </c>
    </row>
    <row r="7350" spans="1:4" x14ac:dyDescent="0.25">
      <c r="A7350" t="str">
        <f>T("   071320")</f>
        <v xml:space="preserve">   071320</v>
      </c>
      <c r="B7350" t="str">
        <f>T("   Pois chiches, secs, écossés, même décortiqués ou cassés")</f>
        <v xml:space="preserve">   Pois chiches, secs, écossés, même décortiqués ou cassés</v>
      </c>
      <c r="C7350">
        <v>11042154</v>
      </c>
      <c r="D7350">
        <v>19592</v>
      </c>
    </row>
    <row r="7351" spans="1:4" x14ac:dyDescent="0.25">
      <c r="A7351" t="str">
        <f>T("   071332")</f>
        <v xml:space="preserve">   071332</v>
      </c>
      <c r="B7351" t="str">
        <f>T("   Haricots 'petits rouges' [haricots Adzuki] 'Phaseolus ou Vigna angularis', secs, écossés, même décortiqués ou cassés")</f>
        <v xml:space="preserve">   Haricots 'petits rouges' [haricots Adzuki] 'Phaseolus ou Vigna angularis', secs, écossés, même décortiqués ou cassés</v>
      </c>
      <c r="C7351">
        <v>52249</v>
      </c>
      <c r="D7351">
        <v>312</v>
      </c>
    </row>
    <row r="7352" spans="1:4" x14ac:dyDescent="0.25">
      <c r="A7352" t="str">
        <f>T("   071339")</f>
        <v xml:space="preserve">   071339</v>
      </c>
      <c r="B7352" t="str">
        <f>T("   Haricots 'Vigna spp., Phaseolus spp.', secs, écossés, même décortiqués ou cassés (à l'excl. des haricots des espèces 'Vigna mungo L. Hepper ou Vigna radiata L. Wilczek', des haricots 'petits rouges' [haricots Adzuki] et des haricots communs)")</f>
        <v xml:space="preserve">   Haricots 'Vigna spp., Phaseolus spp.', secs, écossés, même décortiqués ou cassés (à l'excl. des haricots des espèces 'Vigna mungo L. Hepper ou Vigna radiata L. Wilczek', des haricots 'petits rouges' [haricots Adzuki] et des haricots communs)</v>
      </c>
      <c r="C7352">
        <v>5201024</v>
      </c>
      <c r="D7352">
        <v>13911</v>
      </c>
    </row>
    <row r="7353" spans="1:4" x14ac:dyDescent="0.25">
      <c r="A7353" t="str">
        <f>T("   071340")</f>
        <v xml:space="preserve">   071340</v>
      </c>
      <c r="B7353" t="str">
        <f>T("   Lentilles, séchées, écossées, même décortiquées ou cassées")</f>
        <v xml:space="preserve">   Lentilles, séchées, écossées, même décortiquées ou cassées</v>
      </c>
      <c r="C7353">
        <v>11258261</v>
      </c>
      <c r="D7353">
        <v>17014</v>
      </c>
    </row>
    <row r="7354" spans="1:4" x14ac:dyDescent="0.25">
      <c r="A7354" t="str">
        <f>T("   080132")</f>
        <v xml:space="preserve">   080132</v>
      </c>
      <c r="B7354" t="str">
        <f>T("   Noix de cajou, fraîches ou sèches, sans coques")</f>
        <v xml:space="preserve">   Noix de cajou, fraîches ou sèches, sans coques</v>
      </c>
      <c r="C7354">
        <v>454580</v>
      </c>
      <c r="D7354">
        <v>495</v>
      </c>
    </row>
    <row r="7355" spans="1:4" x14ac:dyDescent="0.25">
      <c r="A7355" t="str">
        <f>T("   080410")</f>
        <v xml:space="preserve">   080410</v>
      </c>
      <c r="B7355" t="str">
        <f>T("   Dattes, fraîches ou sèches")</f>
        <v xml:space="preserve">   Dattes, fraîches ou sèches</v>
      </c>
      <c r="C7355">
        <v>219747</v>
      </c>
      <c r="D7355">
        <v>600</v>
      </c>
    </row>
    <row r="7356" spans="1:4" x14ac:dyDescent="0.25">
      <c r="A7356" t="str">
        <f>T("   090111")</f>
        <v xml:space="preserve">   090111</v>
      </c>
      <c r="B7356" t="str">
        <f>T("   Café, non torréfié, non décaféiné")</f>
        <v xml:space="preserve">   Café, non torréfié, non décaféiné</v>
      </c>
      <c r="C7356">
        <v>297197</v>
      </c>
      <c r="D7356">
        <v>1150</v>
      </c>
    </row>
    <row r="7357" spans="1:4" x14ac:dyDescent="0.25">
      <c r="A7357" t="str">
        <f>T("   090210")</f>
        <v xml:space="preserve">   090210</v>
      </c>
      <c r="B7357" t="str">
        <f>T("   Thé vert [thé non fermenté], présenté en emballages immédiats d'un contenu &lt;= 3 kg")</f>
        <v xml:space="preserve">   Thé vert [thé non fermenté], présenté en emballages immédiats d'un contenu &lt;= 3 kg</v>
      </c>
      <c r="C7357">
        <v>394888</v>
      </c>
      <c r="D7357">
        <v>250</v>
      </c>
    </row>
    <row r="7358" spans="1:4" x14ac:dyDescent="0.25">
      <c r="A7358" t="str">
        <f>T("   090220")</f>
        <v xml:space="preserve">   090220</v>
      </c>
      <c r="B7358" t="str">
        <f>T("   Thé vert [thé non fermenté], présenté en emballages immédiats d'un contenu &gt; 3 kg")</f>
        <v xml:space="preserve">   Thé vert [thé non fermenté], présenté en emballages immédiats d'un contenu &gt; 3 kg</v>
      </c>
      <c r="C7358">
        <v>129425</v>
      </c>
      <c r="D7358">
        <v>61</v>
      </c>
    </row>
    <row r="7359" spans="1:4" x14ac:dyDescent="0.25">
      <c r="A7359" t="str">
        <f>T("   090230")</f>
        <v xml:space="preserve">   090230</v>
      </c>
      <c r="B7359" t="s">
        <v>24</v>
      </c>
      <c r="C7359">
        <v>525497</v>
      </c>
      <c r="D7359">
        <v>393</v>
      </c>
    </row>
    <row r="7360" spans="1:4" x14ac:dyDescent="0.25">
      <c r="A7360" t="str">
        <f>T("   090240")</f>
        <v xml:space="preserve">   090240</v>
      </c>
      <c r="B7360" t="s">
        <v>25</v>
      </c>
      <c r="C7360">
        <v>118832</v>
      </c>
      <c r="D7360">
        <v>673</v>
      </c>
    </row>
    <row r="7361" spans="1:4" x14ac:dyDescent="0.25">
      <c r="A7361" t="str">
        <f>T("   090610")</f>
        <v xml:space="preserve">   090610</v>
      </c>
      <c r="B7361" t="str">
        <f>T("   Cannelle et fleurs de cannelier, non broyées ni pulvérisées")</f>
        <v xml:space="preserve">   Cannelle et fleurs de cannelier, non broyées ni pulvérisées</v>
      </c>
      <c r="C7361">
        <v>246866</v>
      </c>
      <c r="D7361">
        <v>817</v>
      </c>
    </row>
    <row r="7362" spans="1:4" x14ac:dyDescent="0.25">
      <c r="A7362" t="str">
        <f>T("   091091")</f>
        <v xml:space="preserve">   091091</v>
      </c>
      <c r="B7362" t="str">
        <f>T("   Mélanges d'épices")</f>
        <v xml:space="preserve">   Mélanges d'épices</v>
      </c>
      <c r="C7362">
        <v>394888</v>
      </c>
      <c r="D7362">
        <v>675</v>
      </c>
    </row>
    <row r="7363" spans="1:4" x14ac:dyDescent="0.25">
      <c r="A7363" t="str">
        <f>T("   091099")</f>
        <v xml:space="preserve">   091099</v>
      </c>
      <c r="B7363" t="s">
        <v>26</v>
      </c>
      <c r="C7363">
        <v>924510</v>
      </c>
      <c r="D7363">
        <v>1284</v>
      </c>
    </row>
    <row r="7364" spans="1:4" x14ac:dyDescent="0.25">
      <c r="A7364" t="str">
        <f>T("   100590")</f>
        <v xml:space="preserve">   100590</v>
      </c>
      <c r="B7364" t="str">
        <f>T("   Maïs (autre que de semence)")</f>
        <v xml:space="preserve">   Maïs (autre que de semence)</v>
      </c>
      <c r="C7364">
        <v>168252</v>
      </c>
      <c r="D7364">
        <v>846</v>
      </c>
    </row>
    <row r="7365" spans="1:4" x14ac:dyDescent="0.25">
      <c r="A7365" t="str">
        <f>T("   100630")</f>
        <v xml:space="preserve">   100630</v>
      </c>
      <c r="B7365" t="str">
        <f>T("   Riz semi-blanchi ou blanchi, même poli ou glacé")</f>
        <v xml:space="preserve">   Riz semi-blanchi ou blanchi, même poli ou glacé</v>
      </c>
      <c r="C7365">
        <v>1127026.5490000001</v>
      </c>
      <c r="D7365">
        <v>2799</v>
      </c>
    </row>
    <row r="7366" spans="1:4" x14ac:dyDescent="0.25">
      <c r="A7366" t="str">
        <f>T("   120999")</f>
        <v xml:space="preserve">   120999</v>
      </c>
      <c r="B7366" t="s">
        <v>29</v>
      </c>
      <c r="C7366">
        <v>135656</v>
      </c>
      <c r="D7366">
        <v>300</v>
      </c>
    </row>
    <row r="7367" spans="1:4" x14ac:dyDescent="0.25">
      <c r="A7367" t="str">
        <f>T("   150910")</f>
        <v xml:space="preserve">   150910</v>
      </c>
      <c r="B7367" t="str">
        <f>T("   Huile d'olive vierge et ses fractions, obtenues, à partir des fruits de l'olivier, uniquement par des procédés mécaniques ou physiques, dans des conditions n'altérant pas l'huile")</f>
        <v xml:space="preserve">   Huile d'olive vierge et ses fractions, obtenues, à partir des fruits de l'olivier, uniquement par des procédés mécaniques ou physiques, dans des conditions n'altérant pas l'huile</v>
      </c>
      <c r="C7367">
        <v>338962</v>
      </c>
      <c r="D7367">
        <v>711</v>
      </c>
    </row>
    <row r="7368" spans="1:4" x14ac:dyDescent="0.25">
      <c r="A7368" t="str">
        <f>T("   150990")</f>
        <v xml:space="preserve">   150990</v>
      </c>
      <c r="B7368" t="str">
        <f>T("   Huile d'olive et ses fractions, traitées mais non chimiquement modifiées, obtenues, à partir des fruits de l'olivier, uniquement par des procédés mécaniques ou physiques, dans des conditions n'altérant pas l'huile")</f>
        <v xml:space="preserve">   Huile d'olive et ses fractions, traitées mais non chimiquement modifiées, obtenues, à partir des fruits de l'olivier, uniquement par des procédés mécaniques ou physiques, dans des conditions n'altérant pas l'huile</v>
      </c>
      <c r="C7368">
        <v>319975</v>
      </c>
      <c r="D7368">
        <v>225</v>
      </c>
    </row>
    <row r="7369" spans="1:4" x14ac:dyDescent="0.25">
      <c r="A7369" t="str">
        <f>T("   151610")</f>
        <v xml:space="preserve">   151610</v>
      </c>
      <c r="B7369" t="str">
        <f>T("   Graisses et huiles animales et leurs fractions, partiellement ou totalement hydrogénées, interestérifiées, réestérifiées ou élaïdinisées, même raffinées, mais non autrement préparées")</f>
        <v xml:space="preserve">   Graisses et huiles animales et leurs fractions, partiellement ou totalement hydrogénées, interestérifiées, réestérifiées ou élaïdinisées, même raffinées, mais non autrement préparées</v>
      </c>
      <c r="C7369">
        <v>314039</v>
      </c>
      <c r="D7369">
        <v>2108</v>
      </c>
    </row>
    <row r="7370" spans="1:4" x14ac:dyDescent="0.25">
      <c r="A7370" t="str">
        <f>T("   151620")</f>
        <v xml:space="preserve">   151620</v>
      </c>
      <c r="B7370" t="str">
        <f>T("   Graisses et huiles végétales et leurs fractions, partiellement ou totalement hydrogénées, interestérifiées, réestérifiées ou élaïdinisées, même raffinées, mais non autrement préparées")</f>
        <v xml:space="preserve">   Graisses et huiles végétales et leurs fractions, partiellement ou totalement hydrogénées, interestérifiées, réestérifiées ou élaïdinisées, même raffinées, mais non autrement préparées</v>
      </c>
      <c r="C7370">
        <v>263643</v>
      </c>
      <c r="D7370">
        <v>975</v>
      </c>
    </row>
    <row r="7371" spans="1:4" x14ac:dyDescent="0.25">
      <c r="A7371" t="str">
        <f>T("   160239")</f>
        <v xml:space="preserve">   160239</v>
      </c>
      <c r="B7371" t="s">
        <v>39</v>
      </c>
      <c r="C7371">
        <v>456341</v>
      </c>
      <c r="D7371">
        <v>2307</v>
      </c>
    </row>
    <row r="7372" spans="1:4" x14ac:dyDescent="0.25">
      <c r="A7372" t="str">
        <f>T("   160250")</f>
        <v xml:space="preserve">   160250</v>
      </c>
      <c r="B7372" t="s">
        <v>41</v>
      </c>
      <c r="C7372">
        <v>218104</v>
      </c>
      <c r="D7372">
        <v>243</v>
      </c>
    </row>
    <row r="7373" spans="1:4" x14ac:dyDescent="0.25">
      <c r="A7373" t="str">
        <f>T("   160413")</f>
        <v xml:space="preserve">   160413</v>
      </c>
      <c r="B7373" t="str">
        <f>T("   Préparations et conserves de sardines, sardinelles, sprats ou esprots, entiers ou en morceaux (à l'excl. des préparations et conserves de poissons hachés)")</f>
        <v xml:space="preserve">   Préparations et conserves de sardines, sardinelles, sprats ou esprots, entiers ou en morceaux (à l'excl. des préparations et conserves de poissons hachés)</v>
      </c>
      <c r="C7373">
        <v>796336</v>
      </c>
      <c r="D7373">
        <v>500</v>
      </c>
    </row>
    <row r="7374" spans="1:4" x14ac:dyDescent="0.25">
      <c r="A7374" t="str">
        <f>T("   160414")</f>
        <v xml:space="preserve">   160414</v>
      </c>
      <c r="B7374" t="str">
        <f>T("   Préparations et conserves de thons, de listaos et de bonites 'Sarda spp.', entiers ou en morceaux (à l'excl. des préparations et conserves de thons, de listaos et de bonites hachés)")</f>
        <v xml:space="preserve">   Préparations et conserves de thons, de listaos et de bonites 'Sarda spp.', entiers ou en morceaux (à l'excl. des préparations et conserves de thons, de listaos et de bonites hachés)</v>
      </c>
      <c r="C7374">
        <v>1759215</v>
      </c>
      <c r="D7374">
        <v>5279</v>
      </c>
    </row>
    <row r="7375" spans="1:4" x14ac:dyDescent="0.25">
      <c r="A7375" t="str">
        <f>T("   160419")</f>
        <v xml:space="preserve">   160419</v>
      </c>
      <c r="B7375" t="s">
        <v>43</v>
      </c>
      <c r="C7375">
        <v>296761</v>
      </c>
      <c r="D7375">
        <v>777</v>
      </c>
    </row>
    <row r="7376" spans="1:4" x14ac:dyDescent="0.25">
      <c r="A7376" t="str">
        <f>T("   170199")</f>
        <v xml:space="preserve">   170199</v>
      </c>
      <c r="B7376" t="str">
        <f>T("   Sucres de canne ou de betterave et saccharose chimiquement pur, à l'état solide (à l'excl. des sucres bruts et des sucres de canne ou de betterave additionnés d'aromatisants ou de colorants)")</f>
        <v xml:space="preserve">   Sucres de canne ou de betterave et saccharose chimiquement pur, à l'état solide (à l'excl. des sucres bruts et des sucres de canne ou de betterave additionnés d'aromatisants ou de colorants)</v>
      </c>
      <c r="C7376">
        <v>63360</v>
      </c>
      <c r="D7376">
        <v>528</v>
      </c>
    </row>
    <row r="7377" spans="1:4" x14ac:dyDescent="0.25">
      <c r="A7377" t="str">
        <f>T("   170219")</f>
        <v xml:space="preserve">   170219</v>
      </c>
      <c r="B7377" t="str">
        <f>T("   Lactose, à l'état solide, et sirop de lactose, sans addition d'aromatisants ou de colorants, contenant en poids &lt; 99% de lactose, exprimé en lactose anhydre calculé sur matière sèche")</f>
        <v xml:space="preserve">   Lactose, à l'état solide, et sirop de lactose, sans addition d'aromatisants ou de colorants, contenant en poids &lt; 99% de lactose, exprimé en lactose anhydre calculé sur matière sèche</v>
      </c>
      <c r="C7377">
        <v>50360</v>
      </c>
      <c r="D7377">
        <v>436</v>
      </c>
    </row>
    <row r="7378" spans="1:4" x14ac:dyDescent="0.25">
      <c r="A7378" t="str">
        <f>T("   170410")</f>
        <v xml:space="preserve">   170410</v>
      </c>
      <c r="B7378" t="str">
        <f>T("   Gommes à mâcher [chewing-gum], même enrobées de sucre")</f>
        <v xml:space="preserve">   Gommes à mâcher [chewing-gum], même enrobées de sucre</v>
      </c>
      <c r="C7378">
        <v>7815272</v>
      </c>
      <c r="D7378">
        <v>10804</v>
      </c>
    </row>
    <row r="7379" spans="1:4" x14ac:dyDescent="0.25">
      <c r="A7379" t="str">
        <f>T("   170490")</f>
        <v xml:space="preserve">   170490</v>
      </c>
      <c r="B7379" t="str">
        <f>T("   Sucreries sans cacao, y.c. le chocolat blanc (à l'excl. des gommes à mâcher)")</f>
        <v xml:space="preserve">   Sucreries sans cacao, y.c. le chocolat blanc (à l'excl. des gommes à mâcher)</v>
      </c>
      <c r="C7379">
        <v>38041164</v>
      </c>
      <c r="D7379">
        <v>125542</v>
      </c>
    </row>
    <row r="7380" spans="1:4" x14ac:dyDescent="0.25">
      <c r="A7380" t="str">
        <f>T("   180610")</f>
        <v xml:space="preserve">   180610</v>
      </c>
      <c r="B7380" t="str">
        <f>T("   Poudre de cacao, additionnée de sucre ou d'autres édulcorants")</f>
        <v xml:space="preserve">   Poudre de cacao, additionnée de sucre ou d'autres édulcorants</v>
      </c>
      <c r="C7380">
        <v>260287</v>
      </c>
      <c r="D7380">
        <v>686</v>
      </c>
    </row>
    <row r="7381" spans="1:4" x14ac:dyDescent="0.25">
      <c r="A7381" t="str">
        <f>T("   180620")</f>
        <v xml:space="preserve">   180620</v>
      </c>
      <c r="B7381" t="s">
        <v>45</v>
      </c>
      <c r="C7381">
        <v>2415976</v>
      </c>
      <c r="D7381">
        <v>6488</v>
      </c>
    </row>
    <row r="7382" spans="1:4" x14ac:dyDescent="0.25">
      <c r="A7382" t="str">
        <f>T("   180690")</f>
        <v xml:space="preserve">   180690</v>
      </c>
      <c r="B7382" t="str">
        <f>T("   Chocolat et autres préparations alimentaires contenant du cacao, en récipients ou en emballages immédiats d'un contenu &lt;= 2 kg (à l'excl. de la poudre de cacao et des produits présentés en tablettes, barres ou bâtons)")</f>
        <v xml:space="preserve">   Chocolat et autres préparations alimentaires contenant du cacao, en récipients ou en emballages immédiats d'un contenu &lt;= 2 kg (à l'excl. de la poudre de cacao et des produits présentés en tablettes, barres ou bâtons)</v>
      </c>
      <c r="C7382">
        <v>738201</v>
      </c>
      <c r="D7382">
        <v>3894</v>
      </c>
    </row>
    <row r="7383" spans="1:4" x14ac:dyDescent="0.25">
      <c r="A7383" t="str">
        <f>T("   190430")</f>
        <v xml:space="preserve">   190430</v>
      </c>
      <c r="B7383" t="str">
        <f>T("   Bulgur de blé sous forme de grains travaillés, obtenu par cuisson des grains de blé dur")</f>
        <v xml:space="preserve">   Bulgur de blé sous forme de grains travaillés, obtenu par cuisson des grains de blé dur</v>
      </c>
      <c r="C7383">
        <v>606377</v>
      </c>
      <c r="D7383">
        <v>2637</v>
      </c>
    </row>
    <row r="7384" spans="1:4" x14ac:dyDescent="0.25">
      <c r="A7384" t="str">
        <f>T("   190531")</f>
        <v xml:space="preserve">   190531</v>
      </c>
      <c r="B7384" t="str">
        <f>T("   Biscuits additionnés d'édulcorants")</f>
        <v xml:space="preserve">   Biscuits additionnés d'édulcorants</v>
      </c>
      <c r="C7384">
        <v>33278225</v>
      </c>
      <c r="D7384">
        <v>82480</v>
      </c>
    </row>
    <row r="7385" spans="1:4" x14ac:dyDescent="0.25">
      <c r="A7385" t="str">
        <f>T("   190532")</f>
        <v xml:space="preserve">   190532</v>
      </c>
      <c r="B7385" t="str">
        <f>T("   GAUFRES ET GAUFRETTES")</f>
        <v xml:space="preserve">   GAUFRES ET GAUFRETTES</v>
      </c>
      <c r="C7385">
        <v>722327</v>
      </c>
      <c r="D7385">
        <v>2699</v>
      </c>
    </row>
    <row r="7386" spans="1:4" x14ac:dyDescent="0.25">
      <c r="A7386" t="str">
        <f>T("   190590")</f>
        <v xml:space="preserve">   190590</v>
      </c>
      <c r="B7386" t="s">
        <v>50</v>
      </c>
      <c r="C7386">
        <v>19032717</v>
      </c>
      <c r="D7386">
        <v>72324</v>
      </c>
    </row>
    <row r="7387" spans="1:4" x14ac:dyDescent="0.25">
      <c r="A7387" t="str">
        <f>T("   200190")</f>
        <v xml:space="preserve">   200190</v>
      </c>
      <c r="B7387" t="str">
        <f>T("   Légumes, fruits et autres parties comestibles de plantes, préparés ou conservés au vinaigre ou à l'acide acétique (à l'excl. des concombres et des cornichons)")</f>
        <v xml:space="preserve">   Légumes, fruits et autres parties comestibles de plantes, préparés ou conservés au vinaigre ou à l'acide acétique (à l'excl. des concombres et des cornichons)</v>
      </c>
      <c r="C7387">
        <v>12470217</v>
      </c>
      <c r="D7387">
        <v>24166</v>
      </c>
    </row>
    <row r="7388" spans="1:4" x14ac:dyDescent="0.25">
      <c r="A7388" t="str">
        <f>T("   200290")</f>
        <v xml:space="preserve">   200290</v>
      </c>
      <c r="B7388" t="str">
        <f>T("   Tomates, préparées ou conservées autrement qu'au vinaigre ou à l'acide acétique (à l'excl. des tomates entières ou en morceaux)")</f>
        <v xml:space="preserve">   Tomates, préparées ou conservées autrement qu'au vinaigre ou à l'acide acétique (à l'excl. des tomates entières ou en morceaux)</v>
      </c>
      <c r="C7388">
        <v>953110</v>
      </c>
      <c r="D7388">
        <v>2275</v>
      </c>
    </row>
    <row r="7389" spans="1:4" x14ac:dyDescent="0.25">
      <c r="A7389" t="str">
        <f>T("   200310")</f>
        <v xml:space="preserve">   200310</v>
      </c>
      <c r="B7389" t="str">
        <f>T("   Champignons du genre 'Agaricus', préparés ou conservés autrement qu'au vinaigre ou à l'acide acétique")</f>
        <v xml:space="preserve">   Champignons du genre 'Agaricus', préparés ou conservés autrement qu'au vinaigre ou à l'acide acétique</v>
      </c>
      <c r="C7389">
        <v>181673</v>
      </c>
      <c r="D7389">
        <v>750</v>
      </c>
    </row>
    <row r="7390" spans="1:4" x14ac:dyDescent="0.25">
      <c r="A7390" t="str">
        <f>T("   200520")</f>
        <v xml:space="preserve">   200520</v>
      </c>
      <c r="B7390" t="str">
        <f>T("   POMMES DE TERRE, PRÉPARÉES OU CONSERVÉES AUTREMENT QU'AU VINAIGRE OU À L'ACIDE ACÉTIQUE, NON-CONGELÉES")</f>
        <v xml:space="preserve">   POMMES DE TERRE, PRÉPARÉES OU CONSERVÉES AUTREMENT QU'AU VINAIGRE OU À L'ACIDE ACÉTIQUE, NON-CONGELÉES</v>
      </c>
      <c r="C7390">
        <v>859997</v>
      </c>
      <c r="D7390">
        <v>8625</v>
      </c>
    </row>
    <row r="7391" spans="1:4" x14ac:dyDescent="0.25">
      <c r="A7391" t="str">
        <f>T("   200540")</f>
        <v xml:space="preserve">   200540</v>
      </c>
      <c r="B7391" t="str">
        <f>T("   Pois [Pisum sativum], préparés ou conservés autrement qu'au vinaigre ou à l'acide acétique, non congelés")</f>
        <v xml:space="preserve">   Pois [Pisum sativum], préparés ou conservés autrement qu'au vinaigre ou à l'acide acétique, non congelés</v>
      </c>
      <c r="C7391">
        <v>745827</v>
      </c>
      <c r="D7391">
        <v>1540</v>
      </c>
    </row>
    <row r="7392" spans="1:4" x14ac:dyDescent="0.25">
      <c r="A7392" t="str">
        <f>T("   200551")</f>
        <v xml:space="preserve">   200551</v>
      </c>
      <c r="B7392" t="str">
        <f>T("   Haricots [Vigna spp., Phaseolus spp.], en grains, préparés ou conservés autrement qu'au vinaigre ou à l'acide acétique, non congelés")</f>
        <v xml:space="preserve">   Haricots [Vigna spp., Phaseolus spp.], en grains, préparés ou conservés autrement qu'au vinaigre ou à l'acide acétique, non congelés</v>
      </c>
      <c r="C7392">
        <v>3209119</v>
      </c>
      <c r="D7392">
        <v>17590</v>
      </c>
    </row>
    <row r="7393" spans="1:4" x14ac:dyDescent="0.25">
      <c r="A7393" t="str">
        <f>T("   200559")</f>
        <v xml:space="preserve">   200559</v>
      </c>
      <c r="B7393" t="str">
        <f>T("   Haricots [Vigna spp., Phaseolus spp.], préparés ou conservés autrement qu'au vinaigre ou à l'acide acétique, non congelés (à l'excl. des haricots en grains)")</f>
        <v xml:space="preserve">   Haricots [Vigna spp., Phaseolus spp.], préparés ou conservés autrement qu'au vinaigre ou à l'acide acétique, non congelés (à l'excl. des haricots en grains)</v>
      </c>
      <c r="C7393">
        <v>3647721</v>
      </c>
      <c r="D7393">
        <v>10286</v>
      </c>
    </row>
    <row r="7394" spans="1:4" x14ac:dyDescent="0.25">
      <c r="A7394" t="str">
        <f>T("   200570")</f>
        <v xml:space="preserve">   200570</v>
      </c>
      <c r="B7394" t="str">
        <f>T("   OLIVES, PRÉPARÉES OU CONSERVÉES AUTREMENT QU'AU VINAIGRE OU À L'ACIDE ACÉTIQUE, NON-CONGELÉES")</f>
        <v xml:space="preserve">   OLIVES, PRÉPARÉES OU CONSERVÉES AUTREMENT QU'AU VINAIGRE OU À L'ACIDE ACÉTIQUE, NON-CONGELÉES</v>
      </c>
      <c r="C7394">
        <v>3635527</v>
      </c>
      <c r="D7394">
        <v>9876</v>
      </c>
    </row>
    <row r="7395" spans="1:4" x14ac:dyDescent="0.25">
      <c r="A7395" t="str">
        <f>T("   200590")</f>
        <v xml:space="preserve">   200590</v>
      </c>
      <c r="B7395" t="s">
        <v>51</v>
      </c>
      <c r="C7395">
        <v>3022210</v>
      </c>
      <c r="D7395">
        <v>9471</v>
      </c>
    </row>
    <row r="7396" spans="1:4" x14ac:dyDescent="0.25">
      <c r="A7396" t="str">
        <f>T("   200799")</f>
        <v xml:space="preserve">   200799</v>
      </c>
      <c r="B7396" t="s">
        <v>53</v>
      </c>
      <c r="C7396">
        <v>1207622</v>
      </c>
      <c r="D7396">
        <v>1600</v>
      </c>
    </row>
    <row r="7397" spans="1:4" x14ac:dyDescent="0.25">
      <c r="A7397" t="str">
        <f>T("   200819")</f>
        <v xml:space="preserve">   200819</v>
      </c>
      <c r="B7397" t="s">
        <v>54</v>
      </c>
      <c r="C7397">
        <v>495169</v>
      </c>
      <c r="D7397">
        <v>2960</v>
      </c>
    </row>
    <row r="7398" spans="1:4" x14ac:dyDescent="0.25">
      <c r="A7398" t="str">
        <f>T("   200919")</f>
        <v xml:space="preserve">   200919</v>
      </c>
      <c r="B7398" t="str">
        <f>T("   JUS D'ORANGE, NON-FERMENTÉS, SANS ADDITION D'ALCOOL, AVEC OU SANS ADDITION DE SUCRE OU D'AUTRES ÉDULCORANTS (À L'EXCL. DES JUS CONGELÉS ET DES JUS D'UNE VALEUR BRIX &lt;= 20 À 20°C)")</f>
        <v xml:space="preserve">   JUS D'ORANGE, NON-FERMENTÉS, SANS ADDITION D'ALCOOL, AVEC OU SANS ADDITION DE SUCRE OU D'AUTRES ÉDULCORANTS (À L'EXCL. DES JUS CONGELÉS ET DES JUS D'UNE VALEUR BRIX &lt;= 20 À 20°C)</v>
      </c>
      <c r="C7398">
        <v>4089392</v>
      </c>
      <c r="D7398">
        <v>12850</v>
      </c>
    </row>
    <row r="7399" spans="1:4" x14ac:dyDescent="0.25">
      <c r="A7399" t="str">
        <f>T("   200949")</f>
        <v xml:space="preserve">   200949</v>
      </c>
      <c r="B7399" t="str">
        <f>T("   JUS D'ANANAS, NON-FERMENTÉS, SANS ADDITION D'ALCOOL, AVEC OU SANS ADDITION DE SUCRE OU D'AUTRES ÉDULCORANTS, D'UNE VALEUR BRIX &gt; 20 À 20°C")</f>
        <v xml:space="preserve">   JUS D'ANANAS, NON-FERMENTÉS, SANS ADDITION D'ALCOOL, AVEC OU SANS ADDITION DE SUCRE OU D'AUTRES ÉDULCORANTS, D'UNE VALEUR BRIX &gt; 20 À 20°C</v>
      </c>
      <c r="C7399">
        <v>1233861</v>
      </c>
      <c r="D7399">
        <v>7080</v>
      </c>
    </row>
    <row r="7400" spans="1:4" x14ac:dyDescent="0.25">
      <c r="A7400" t="str">
        <f>T("   200980")</f>
        <v xml:space="preserve">   200980</v>
      </c>
      <c r="B7400" t="str">
        <f>T("   JUS DE FRUITS OU DE LÉGUMES, NON-FERMENTÉS, SANS ADDITION D'ALCOOL, AVEC OU SANS ADDITION DE SUCRE OU D'AUTRES ÉDULCORANTS (À L'EXCL. DES MÉLANGES AINSI QUE DES JUS D'AGRUMES, D'ANANAS, DE TOMATE, DE RAISIN - Y.C. LES MOÛTS - ET DE POMME)")</f>
        <v xml:space="preserve">   JUS DE FRUITS OU DE LÉGUMES, NON-FERMENTÉS, SANS ADDITION D'ALCOOL, AVEC OU SANS ADDITION DE SUCRE OU D'AUTRES ÉDULCORANTS (À L'EXCL. DES MÉLANGES AINSI QUE DES JUS D'AGRUMES, D'ANANAS, DE TOMATE, DE RAISIN - Y.C. LES MOÛTS - ET DE POMME)</v>
      </c>
      <c r="C7400">
        <v>33325832</v>
      </c>
      <c r="D7400">
        <v>127594.5</v>
      </c>
    </row>
    <row r="7401" spans="1:4" x14ac:dyDescent="0.25">
      <c r="A7401" t="str">
        <f>T("   200990")</f>
        <v xml:space="preserve">   200990</v>
      </c>
      <c r="B7401" t="str">
        <f>T("   MÉLANGES DE JUS DE FRUITS - Y.C. LES MOÛTS DE RAISIN - ET DE JUS DE LÉGUMES, NON-FERMENTÉS, SANS ADDITION D'ALCOOL, AVEC OU SANS ADDITION DE SUCRE OU D'AUTRES ÉDULCORANTS")</f>
        <v xml:space="preserve">   MÉLANGES DE JUS DE FRUITS - Y.C. LES MOÛTS DE RAISIN - ET DE JUS DE LÉGUMES, NON-FERMENTÉS, SANS ADDITION D'ALCOOL, AVEC OU SANS ADDITION DE SUCRE OU D'AUTRES ÉDULCORANTS</v>
      </c>
      <c r="C7401">
        <v>31492890</v>
      </c>
      <c r="D7401">
        <v>127368</v>
      </c>
    </row>
    <row r="7402" spans="1:4" x14ac:dyDescent="0.25">
      <c r="A7402" t="str">
        <f>T("   210111")</f>
        <v xml:space="preserve">   210111</v>
      </c>
      <c r="B7402" t="str">
        <f>T("   Extraits, essences et concentrés de café")</f>
        <v xml:space="preserve">   Extraits, essences et concentrés de café</v>
      </c>
      <c r="C7402">
        <v>253097</v>
      </c>
      <c r="D7402">
        <v>1512</v>
      </c>
    </row>
    <row r="7403" spans="1:4" x14ac:dyDescent="0.25">
      <c r="A7403" t="str">
        <f>T("   210320")</f>
        <v xml:space="preserve">   210320</v>
      </c>
      <c r="B7403" t="str">
        <f>T("   Tomato ketchup et autres sauces tomates")</f>
        <v xml:space="preserve">   Tomato ketchup et autres sauces tomates</v>
      </c>
      <c r="C7403">
        <v>2488590</v>
      </c>
      <c r="D7403">
        <v>8863</v>
      </c>
    </row>
    <row r="7404" spans="1:4" x14ac:dyDescent="0.25">
      <c r="A7404" t="str">
        <f>T("   210390")</f>
        <v xml:space="preserve">   210390</v>
      </c>
      <c r="B7404" t="str">
        <f>T("   Préparations pour sauces et sauces préparées; condiments et assaisonnements, composés (à l'excl. de la sauce de soja, du tomato ketchup et autres sauces tomates, de la farine de moutarde et de la moutarde préparée)")</f>
        <v xml:space="preserve">   Préparations pour sauces et sauces préparées; condiments et assaisonnements, composés (à l'excl. de la sauce de soja, du tomato ketchup et autres sauces tomates, de la farine de moutarde et de la moutarde préparée)</v>
      </c>
      <c r="C7404">
        <v>2715541</v>
      </c>
      <c r="D7404">
        <v>3312</v>
      </c>
    </row>
    <row r="7405" spans="1:4" x14ac:dyDescent="0.25">
      <c r="A7405" t="str">
        <f>T("   210500")</f>
        <v xml:space="preserve">   210500</v>
      </c>
      <c r="B7405" t="str">
        <f>T("   Glaces de consommation, même contenant du cacao")</f>
        <v xml:space="preserve">   Glaces de consommation, même contenant du cacao</v>
      </c>
      <c r="C7405">
        <v>3896225</v>
      </c>
      <c r="D7405">
        <v>8053</v>
      </c>
    </row>
    <row r="7406" spans="1:4" x14ac:dyDescent="0.25">
      <c r="A7406" t="str">
        <f>T("   210690")</f>
        <v xml:space="preserve">   210690</v>
      </c>
      <c r="B7406" t="str">
        <f>T("   Préparations alimentaires, n.d.a.")</f>
        <v xml:space="preserve">   Préparations alimentaires, n.d.a.</v>
      </c>
      <c r="C7406">
        <v>4968820</v>
      </c>
      <c r="D7406">
        <v>17385</v>
      </c>
    </row>
    <row r="7407" spans="1:4" x14ac:dyDescent="0.25">
      <c r="A7407" t="str">
        <f>T("   220110")</f>
        <v xml:space="preserve">   220110</v>
      </c>
      <c r="B7407" t="str">
        <f>T("   Eaux minérales et eaux gazéifiées, non additionnées de sucre ou d'autres édulcorants ni aromatisées")</f>
        <v xml:space="preserve">   Eaux minérales et eaux gazéifiées, non additionnées de sucre ou d'autres édulcorants ni aromatisées</v>
      </c>
      <c r="C7407">
        <v>37117847</v>
      </c>
      <c r="D7407">
        <v>449386</v>
      </c>
    </row>
    <row r="7408" spans="1:4" x14ac:dyDescent="0.25">
      <c r="A7408" t="str">
        <f>T("   220190")</f>
        <v xml:space="preserve">   220190</v>
      </c>
      <c r="B7408" t="str">
        <f>T("   Eaux, non additionnées de sucre ou d'autres édulcorants ni aromatisées (à l'excl. des eaux minérales, des eaux gazéifiées, de l'eau de mer ainsi que des eaux distillées, de conductibilité ou de même degré de pureté); glace et neige")</f>
        <v xml:space="preserve">   Eaux, non additionnées de sucre ou d'autres édulcorants ni aromatisées (à l'excl. des eaux minérales, des eaux gazéifiées, de l'eau de mer ainsi que des eaux distillées, de conductibilité ou de même degré de pureté); glace et neige</v>
      </c>
      <c r="C7408">
        <v>926956</v>
      </c>
      <c r="D7408">
        <v>6000</v>
      </c>
    </row>
    <row r="7409" spans="1:4" x14ac:dyDescent="0.25">
      <c r="A7409" t="str">
        <f>T("   220210")</f>
        <v xml:space="preserve">   220210</v>
      </c>
      <c r="B7409" t="str">
        <f>T("   Eaux, y.c. les eaux minérales et les eaux gazéifiées, additionnées de sucre ou d'autres édulcorants ou aromatisées, directement consommables en l'état en tant que boissons")</f>
        <v xml:space="preserve">   Eaux, y.c. les eaux minérales et les eaux gazéifiées, additionnées de sucre ou d'autres édulcorants ou aromatisées, directement consommables en l'état en tant que boissons</v>
      </c>
      <c r="C7409">
        <v>11537917</v>
      </c>
      <c r="D7409">
        <v>41754</v>
      </c>
    </row>
    <row r="7410" spans="1:4" x14ac:dyDescent="0.25">
      <c r="A7410" t="str">
        <f>T("   220290")</f>
        <v xml:space="preserve">   220290</v>
      </c>
      <c r="B7410" t="str">
        <f>T("   BOISSONS NON-ALCOOLIQUES (À L'EXCL. DES EAUX, DES JUS DE FRUITS OU DE LÉGUMES AINSI QUE DU LAIT)")</f>
        <v xml:space="preserve">   BOISSONS NON-ALCOOLIQUES (À L'EXCL. DES EAUX, DES JUS DE FRUITS OU DE LÉGUMES AINSI QUE DU LAIT)</v>
      </c>
      <c r="C7410">
        <v>60749956</v>
      </c>
      <c r="D7410">
        <v>317192</v>
      </c>
    </row>
    <row r="7411" spans="1:4" x14ac:dyDescent="0.25">
      <c r="A7411" t="str">
        <f>T("   220300")</f>
        <v xml:space="preserve">   220300</v>
      </c>
      <c r="B7411" t="str">
        <f>T("   Bières de malt")</f>
        <v xml:space="preserve">   Bières de malt</v>
      </c>
      <c r="C7411">
        <v>5007258</v>
      </c>
      <c r="D7411">
        <v>19557</v>
      </c>
    </row>
    <row r="7412" spans="1:4" x14ac:dyDescent="0.25">
      <c r="A7412" t="str">
        <f>T("   220600")</f>
        <v xml:space="preserve">   220600</v>
      </c>
      <c r="B7412" t="s">
        <v>57</v>
      </c>
      <c r="C7412">
        <v>1887382</v>
      </c>
      <c r="D7412">
        <v>7236</v>
      </c>
    </row>
    <row r="7413" spans="1:4" x14ac:dyDescent="0.25">
      <c r="A7413" t="str">
        <f>T("   220710")</f>
        <v xml:space="preserve">   220710</v>
      </c>
      <c r="B7413" t="str">
        <f>T("   Alcool éthylique non dénaturé d'un titre alcoométrique volumique &gt;= 80% vol")</f>
        <v xml:space="preserve">   Alcool éthylique non dénaturé d'un titre alcoométrique volumique &gt;= 80% vol</v>
      </c>
      <c r="C7413">
        <v>36005</v>
      </c>
      <c r="D7413">
        <v>70.2</v>
      </c>
    </row>
    <row r="7414" spans="1:4" x14ac:dyDescent="0.25">
      <c r="A7414" t="str">
        <f>T("   220720")</f>
        <v xml:space="preserve">   220720</v>
      </c>
      <c r="B7414" t="str">
        <f>T("   Alcool éthylique et eaux-de-vie dénaturés de tous titres")</f>
        <v xml:space="preserve">   Alcool éthylique et eaux-de-vie dénaturés de tous titres</v>
      </c>
      <c r="C7414">
        <v>107034</v>
      </c>
      <c r="D7414">
        <v>200</v>
      </c>
    </row>
    <row r="7415" spans="1:4" x14ac:dyDescent="0.25">
      <c r="A7415" t="str">
        <f>T("   220830")</f>
        <v xml:space="preserve">   220830</v>
      </c>
      <c r="B7415" t="str">
        <f>T("   Whiskies")</f>
        <v xml:space="preserve">   Whiskies</v>
      </c>
      <c r="C7415">
        <v>684991</v>
      </c>
      <c r="D7415">
        <v>1600</v>
      </c>
    </row>
    <row r="7416" spans="1:4" x14ac:dyDescent="0.25">
      <c r="A7416" t="str">
        <f>T("   250100")</f>
        <v xml:space="preserve">   250100</v>
      </c>
      <c r="B7416" t="s">
        <v>60</v>
      </c>
      <c r="C7416">
        <v>2156820</v>
      </c>
      <c r="D7416">
        <v>7096</v>
      </c>
    </row>
    <row r="7417" spans="1:4" x14ac:dyDescent="0.25">
      <c r="A7417" t="str">
        <f>T("   271019")</f>
        <v xml:space="preserve">   271019</v>
      </c>
      <c r="B7417" t="str">
        <f>T("   Huiles moyennes et préparations, de pétrole ou de minéraux bitumineux, n.d.a.")</f>
        <v xml:space="preserve">   Huiles moyennes et préparations, de pétrole ou de minéraux bitumineux, n.d.a.</v>
      </c>
      <c r="C7417">
        <v>30678</v>
      </c>
      <c r="D7417">
        <v>768</v>
      </c>
    </row>
    <row r="7418" spans="1:4" x14ac:dyDescent="0.25">
      <c r="A7418" t="str">
        <f>T("   271113")</f>
        <v xml:space="preserve">   271113</v>
      </c>
      <c r="B7418" t="str">
        <f>T("   Butanes, liquéfiés (à l'excl. des butanes d'une pureté &gt;= 95% en n-butane ou en isobutane)")</f>
        <v xml:space="preserve">   Butanes, liquéfiés (à l'excl. des butanes d'une pureté &gt;= 95% en n-butane ou en isobutane)</v>
      </c>
      <c r="C7418">
        <v>152913</v>
      </c>
      <c r="D7418">
        <v>447</v>
      </c>
    </row>
    <row r="7419" spans="1:4" x14ac:dyDescent="0.25">
      <c r="A7419" t="str">
        <f>T("   283610")</f>
        <v xml:space="preserve">   283610</v>
      </c>
      <c r="B7419" t="str">
        <f>T("   Carbonates d'ammonium, y.c. le carbonate d'ammonium du commerce")</f>
        <v xml:space="preserve">   Carbonates d'ammonium, y.c. le carbonate d'ammonium du commerce</v>
      </c>
      <c r="C7419">
        <v>205543</v>
      </c>
      <c r="D7419">
        <v>835</v>
      </c>
    </row>
    <row r="7420" spans="1:4" x14ac:dyDescent="0.25">
      <c r="A7420" t="str">
        <f>T("   291632")</f>
        <v xml:space="preserve">   291632</v>
      </c>
      <c r="B7420" t="str">
        <f>T("   Peroxyde de benzoyle et chlorure de benzoyle")</f>
        <v xml:space="preserve">   Peroxyde de benzoyle et chlorure de benzoyle</v>
      </c>
      <c r="C7420">
        <v>4731157</v>
      </c>
      <c r="D7420">
        <v>12732</v>
      </c>
    </row>
    <row r="7421" spans="1:4" x14ac:dyDescent="0.25">
      <c r="A7421" t="str">
        <f>T("   300510")</f>
        <v xml:space="preserve">   300510</v>
      </c>
      <c r="B7421" t="str">
        <f>T("   Pansements adhésifs et autres articles ayant une couche adhésive, imprégnés ou recouverts de substances pharmaceutiques ou conditionnés pour la vente au détail à des fins médicales, chirurgicales, dentaires ou vétérinaires")</f>
        <v xml:space="preserve">   Pansements adhésifs et autres articles ayant une couche adhésive, imprégnés ou recouverts de substances pharmaceutiques ou conditionnés pour la vente au détail à des fins médicales, chirurgicales, dentaires ou vétérinaires</v>
      </c>
      <c r="C7421">
        <v>41474</v>
      </c>
      <c r="D7421">
        <v>31</v>
      </c>
    </row>
    <row r="7422" spans="1:4" x14ac:dyDescent="0.25">
      <c r="A7422" t="str">
        <f>T("   320890")</f>
        <v xml:space="preserve">   320890</v>
      </c>
      <c r="B7422" t="s">
        <v>96</v>
      </c>
      <c r="C7422">
        <v>11466763</v>
      </c>
      <c r="D7422">
        <v>31496</v>
      </c>
    </row>
    <row r="7423" spans="1:4" x14ac:dyDescent="0.25">
      <c r="A7423" t="str">
        <f>T("   321410")</f>
        <v xml:space="preserve">   321410</v>
      </c>
      <c r="B7423" t="str">
        <f>T("   Mastic de vitrier, ciments de résine et autres mastics; enduits utilisés en peinture")</f>
        <v xml:space="preserve">   Mastic de vitrier, ciments de résine et autres mastics; enduits utilisés en peinture</v>
      </c>
      <c r="C7423">
        <v>1438683</v>
      </c>
      <c r="D7423">
        <v>3330</v>
      </c>
    </row>
    <row r="7424" spans="1:4" x14ac:dyDescent="0.25">
      <c r="A7424" t="str">
        <f>T("   321490")</f>
        <v xml:space="preserve">   321490</v>
      </c>
      <c r="B7424" t="str">
        <f>T("   Enduits non réfractaires des types utilisés en maçonnerie")</f>
        <v xml:space="preserve">   Enduits non réfractaires des types utilisés en maçonnerie</v>
      </c>
      <c r="C7424">
        <v>93818</v>
      </c>
      <c r="D7424">
        <v>50</v>
      </c>
    </row>
    <row r="7425" spans="1:4" x14ac:dyDescent="0.25">
      <c r="A7425" t="str">
        <f>T("   321590")</f>
        <v xml:space="preserve">   321590</v>
      </c>
      <c r="B7425" t="str">
        <f>T("   Encres à écrire et à dessiner, même concentrées ou sous formes solides")</f>
        <v xml:space="preserve">   Encres à écrire et à dessiner, même concentrées ou sous formes solides</v>
      </c>
      <c r="C7425">
        <v>277085</v>
      </c>
      <c r="D7425">
        <v>50</v>
      </c>
    </row>
    <row r="7426" spans="1:4" x14ac:dyDescent="0.25">
      <c r="A7426" t="str">
        <f>T("   330499")</f>
        <v xml:space="preserve">   330499</v>
      </c>
      <c r="B7426" t="s">
        <v>100</v>
      </c>
      <c r="C7426">
        <v>636567</v>
      </c>
      <c r="D7426">
        <v>806</v>
      </c>
    </row>
    <row r="7427" spans="1:4" x14ac:dyDescent="0.25">
      <c r="A7427" t="str">
        <f>T("   330510")</f>
        <v xml:space="preserve">   330510</v>
      </c>
      <c r="B7427" t="str">
        <f>T("   Shampooings")</f>
        <v xml:space="preserve">   Shampooings</v>
      </c>
      <c r="C7427">
        <v>925574</v>
      </c>
      <c r="D7427">
        <v>3433</v>
      </c>
    </row>
    <row r="7428" spans="1:4" x14ac:dyDescent="0.25">
      <c r="A7428" t="str">
        <f>T("   330590")</f>
        <v xml:space="preserve">   330590</v>
      </c>
      <c r="B7428" t="str">
        <f>T("   PRÉPARATIONS CAPILLAIRES (À L'EXCL. DES SHAMPOOINGS, DES LAQUES POUR CHEVEUX ET DES PRÉPARATIONS POUR L'ONDULATION OU LE DÉFRISAGE PERMANENTS)")</f>
        <v xml:space="preserve">   PRÉPARATIONS CAPILLAIRES (À L'EXCL. DES SHAMPOOINGS, DES LAQUES POUR CHEVEUX ET DES PRÉPARATIONS POUR L'ONDULATION OU LE DÉFRISAGE PERMANENTS)</v>
      </c>
      <c r="C7428">
        <v>129905</v>
      </c>
      <c r="D7428">
        <v>635</v>
      </c>
    </row>
    <row r="7429" spans="1:4" x14ac:dyDescent="0.25">
      <c r="A7429" t="str">
        <f>T("   340111")</f>
        <v xml:space="preserve">   340111</v>
      </c>
      <c r="B7429" t="s">
        <v>101</v>
      </c>
      <c r="C7429">
        <v>1633604</v>
      </c>
      <c r="D7429">
        <v>2723</v>
      </c>
    </row>
    <row r="7430" spans="1:4" x14ac:dyDescent="0.25">
      <c r="A7430" t="str">
        <f>T("   340119")</f>
        <v xml:space="preserve">   340119</v>
      </c>
      <c r="B7430" t="s">
        <v>102</v>
      </c>
      <c r="C7430">
        <v>3891080</v>
      </c>
      <c r="D7430">
        <v>14987</v>
      </c>
    </row>
    <row r="7431" spans="1:4" x14ac:dyDescent="0.25">
      <c r="A7431" t="str">
        <f>T("   340120")</f>
        <v xml:space="preserve">   340120</v>
      </c>
      <c r="B7431" t="str">
        <f>T("   Savons en flocons, en paillettes, en granulés ou en poudres et savons liquides ou pâteux")</f>
        <v xml:space="preserve">   Savons en flocons, en paillettes, en granulés ou en poudres et savons liquides ou pâteux</v>
      </c>
      <c r="C7431">
        <v>1822235</v>
      </c>
      <c r="D7431">
        <v>6235</v>
      </c>
    </row>
    <row r="7432" spans="1:4" x14ac:dyDescent="0.25">
      <c r="A7432" t="str">
        <f>T("   340220")</f>
        <v xml:space="preserve">   340220</v>
      </c>
      <c r="B7432" t="s">
        <v>103</v>
      </c>
      <c r="C7432">
        <v>2026730</v>
      </c>
      <c r="D7432">
        <v>8233</v>
      </c>
    </row>
    <row r="7433" spans="1:4" x14ac:dyDescent="0.25">
      <c r="A7433" t="str">
        <f>T("   340290")</f>
        <v xml:space="preserve">   340290</v>
      </c>
      <c r="B7433" t="s">
        <v>104</v>
      </c>
      <c r="C7433">
        <v>2075411</v>
      </c>
      <c r="D7433">
        <v>5576</v>
      </c>
    </row>
    <row r="7434" spans="1:4" x14ac:dyDescent="0.25">
      <c r="A7434" t="str">
        <f>T("   340590")</f>
        <v xml:space="preserve">   340590</v>
      </c>
      <c r="B7434" t="str">
        <f>T("   Brillants pour verre ou métaux, même sous forme de papier, ouates, feutres, nontissés, matière plastique ou caoutchouc alvéolaires, imprégnés, enduits ou recouverts de ces préparations")</f>
        <v xml:space="preserve">   Brillants pour verre ou métaux, même sous forme de papier, ouates, feutres, nontissés, matière plastique ou caoutchouc alvéolaires, imprégnés, enduits ou recouverts de ces préparations</v>
      </c>
      <c r="C7434">
        <v>108990</v>
      </c>
      <c r="D7434">
        <v>1184</v>
      </c>
    </row>
    <row r="7435" spans="1:4" x14ac:dyDescent="0.25">
      <c r="A7435" t="str">
        <f>T("   370110")</f>
        <v xml:space="preserve">   370110</v>
      </c>
      <c r="B7435" t="str">
        <f>T("   PLAQUES ET FILMS PLANS, PHOTOGRAPHIQUES, SENSIBILISÉS, NON-IMPRESSIONNÉS, POUR RAYONS X (SAUF EN PAPIER, EN CARTON OU EN MATIÈRES TEXTILES)")</f>
        <v xml:space="preserve">   PLAQUES ET FILMS PLANS, PHOTOGRAPHIQUES, SENSIBILISÉS, NON-IMPRESSIONNÉS, POUR RAYONS X (SAUF EN PAPIER, EN CARTON OU EN MATIÈRES TEXTILES)</v>
      </c>
      <c r="C7435">
        <v>2532886</v>
      </c>
      <c r="D7435">
        <v>51</v>
      </c>
    </row>
    <row r="7436" spans="1:4" x14ac:dyDescent="0.25">
      <c r="A7436" t="str">
        <f>T("   370254")</f>
        <v xml:space="preserve">   370254</v>
      </c>
      <c r="B7436" t="s">
        <v>115</v>
      </c>
      <c r="C7436">
        <v>16801687</v>
      </c>
      <c r="D7436">
        <v>19805</v>
      </c>
    </row>
    <row r="7437" spans="1:4" x14ac:dyDescent="0.25">
      <c r="A7437" t="str">
        <f>T("   370320")</f>
        <v xml:space="preserve">   370320</v>
      </c>
      <c r="B7437" t="str">
        <f>T("   PAPIERS, CARTONS ET TEXTILES, PHOTOGRAPHIQUES, SENSIBILISÉS, NON-IMPRESSIONNÉS, POUR LA PHOTOGRAPHIE EN COULEURS [POLYCHROME] (À L'EXCL. DES PRODUITS EN ROULEAUX D'UNE LARGEUR &gt; 610 MM)")</f>
        <v xml:space="preserve">   PAPIERS, CARTONS ET TEXTILES, PHOTOGRAPHIQUES, SENSIBILISÉS, NON-IMPRESSIONNÉS, POUR LA PHOTOGRAPHIE EN COULEURS [POLYCHROME] (À L'EXCL. DES PRODUITS EN ROULEAUX D'UNE LARGEUR &gt; 610 MM)</v>
      </c>
      <c r="C7437">
        <v>3044120</v>
      </c>
      <c r="D7437">
        <v>10734</v>
      </c>
    </row>
    <row r="7438" spans="1:4" x14ac:dyDescent="0.25">
      <c r="A7438" t="str">
        <f>T("   370790")</f>
        <v xml:space="preserve">   370790</v>
      </c>
      <c r="B7438" t="s">
        <v>117</v>
      </c>
      <c r="C7438">
        <v>9485949</v>
      </c>
      <c r="D7438">
        <v>20701</v>
      </c>
    </row>
    <row r="7439" spans="1:4" x14ac:dyDescent="0.25">
      <c r="A7439" t="str">
        <f>T("   380810")</f>
        <v xml:space="preserve">   380810</v>
      </c>
      <c r="B7439" t="str">
        <f>T("   Insecticides présentés dans des formes ou emballages de vente au détail ou à l'état de préparations ou sous forme d'articles")</f>
        <v xml:space="preserve">   Insecticides présentés dans des formes ou emballages de vente au détail ou à l'état de préparations ou sous forme d'articles</v>
      </c>
      <c r="C7439">
        <v>237278</v>
      </c>
      <c r="D7439">
        <v>786</v>
      </c>
    </row>
    <row r="7440" spans="1:4" x14ac:dyDescent="0.25">
      <c r="A7440" t="str">
        <f>T("   380840")</f>
        <v xml:space="preserve">   380840</v>
      </c>
      <c r="B7440" t="str">
        <f>T("   Désinfectants et produits simil., présentés dans des formes ou emballages de vente au détail ou à l'état de préparations ou sous forme d'articles")</f>
        <v xml:space="preserve">   Désinfectants et produits simil., présentés dans des formes ou emballages de vente au détail ou à l'état de préparations ou sous forme d'articles</v>
      </c>
      <c r="C7440">
        <v>263642</v>
      </c>
      <c r="D7440">
        <v>771</v>
      </c>
    </row>
    <row r="7441" spans="1:4" x14ac:dyDescent="0.25">
      <c r="A7441" t="str">
        <f>T("   381400")</f>
        <v xml:space="preserve">   381400</v>
      </c>
      <c r="B7441" t="str">
        <f>T("   Solvants et diluants organiques composites, n.d.a.; préparations conçues pour enlever les peintures ou les vernis (à l'excl. des dissolvants pour vernis à ongles)")</f>
        <v xml:space="preserve">   Solvants et diluants organiques composites, n.d.a.; préparations conçues pour enlever les peintures ou les vernis (à l'excl. des dissolvants pour vernis à ongles)</v>
      </c>
      <c r="C7441">
        <v>9745112</v>
      </c>
      <c r="D7441">
        <v>24384</v>
      </c>
    </row>
    <row r="7442" spans="1:4" x14ac:dyDescent="0.25">
      <c r="A7442" t="str">
        <f>T("   382490")</f>
        <v xml:space="preserve">   382490</v>
      </c>
      <c r="B7442" t="str">
        <f>T("   Produits chimiques et préparations des industries chimiques ou des industries connexes, y.c. celles consistant en mélanges de produits naturels, n.d.a.")</f>
        <v xml:space="preserve">   Produits chimiques et préparations des industries chimiques ou des industries connexes, y.c. celles consistant en mélanges de produits naturels, n.d.a.</v>
      </c>
      <c r="C7442">
        <v>622915</v>
      </c>
      <c r="D7442">
        <v>1729</v>
      </c>
    </row>
    <row r="7443" spans="1:4" x14ac:dyDescent="0.25">
      <c r="A7443" t="str">
        <f>T("   391721")</f>
        <v xml:space="preserve">   391721</v>
      </c>
      <c r="B7443" t="str">
        <f>T("   TUBES ET TUYAUX RIGIDES, EN POLYMÈRES DE L'ÉTHYLÈNE")</f>
        <v xml:space="preserve">   TUBES ET TUYAUX RIGIDES, EN POLYMÈRES DE L'ÉTHYLÈNE</v>
      </c>
      <c r="C7443">
        <v>301742</v>
      </c>
      <c r="D7443">
        <v>110</v>
      </c>
    </row>
    <row r="7444" spans="1:4" x14ac:dyDescent="0.25">
      <c r="A7444" t="str">
        <f>T("   391739")</f>
        <v xml:space="preserve">   391739</v>
      </c>
      <c r="B7444" t="str">
        <f>T("   TUBES ET TUYAUX SOUPLES, EN MATIÈRES PLASTIQUES, RENFORCÉS D'AUTRES MATIÈRES OU ASSOCIÉS À D'AUTRES MATIÈRES (À L'EXCL. DES PRODUITS POUVANT SUPPORTER UNE PRESSION &gt;= 27,6 MPA)")</f>
        <v xml:space="preserve">   TUBES ET TUYAUX SOUPLES, EN MATIÈRES PLASTIQUES, RENFORCÉS D'AUTRES MATIÈRES OU ASSOCIÉS À D'AUTRES MATIÈRES (À L'EXCL. DES PRODUITS POUVANT SUPPORTER UNE PRESSION &gt;= 27,6 MPA)</v>
      </c>
      <c r="C7444">
        <v>231526</v>
      </c>
      <c r="D7444">
        <v>291</v>
      </c>
    </row>
    <row r="7445" spans="1:4" x14ac:dyDescent="0.25">
      <c r="A7445" t="str">
        <f>T("   391910")</f>
        <v xml:space="preserve">   391910</v>
      </c>
      <c r="B7445" t="str">
        <f>T("   Feuilles, bandes, rubans, pellicules et autres formes plates, auto-adhésifs, en matières plastiques, en rouleaux d'une largeur &lt;= 20 cm")</f>
        <v xml:space="preserve">   Feuilles, bandes, rubans, pellicules et autres formes plates, auto-adhésifs, en matières plastiques, en rouleaux d'une largeur &lt;= 20 cm</v>
      </c>
      <c r="C7445">
        <v>610699</v>
      </c>
      <c r="D7445">
        <v>312</v>
      </c>
    </row>
    <row r="7446" spans="1:4" x14ac:dyDescent="0.25">
      <c r="A7446" t="str">
        <f>T("   391990")</f>
        <v xml:space="preserve">   391990</v>
      </c>
      <c r="B7446" t="s">
        <v>130</v>
      </c>
      <c r="C7446">
        <v>480564</v>
      </c>
      <c r="D7446">
        <v>11376</v>
      </c>
    </row>
    <row r="7447" spans="1:4" x14ac:dyDescent="0.25">
      <c r="A7447" t="str">
        <f>T("   392099")</f>
        <v xml:space="preserve">   392099</v>
      </c>
      <c r="B7447" t="s">
        <v>139</v>
      </c>
      <c r="C7447">
        <v>423266</v>
      </c>
      <c r="D7447">
        <v>598</v>
      </c>
    </row>
    <row r="7448" spans="1:4" x14ac:dyDescent="0.25">
      <c r="A7448" t="str">
        <f>T("   392330")</f>
        <v xml:space="preserve">   392330</v>
      </c>
      <c r="B7448" t="str">
        <f>T("   Bonbonnes, bouteilles, flacons et articles simil. pour le transport ou l'emballage, en matières plastiques")</f>
        <v xml:space="preserve">   Bonbonnes, bouteilles, flacons et articles simil. pour le transport ou l'emballage, en matières plastiques</v>
      </c>
      <c r="C7448">
        <v>37300</v>
      </c>
      <c r="D7448">
        <v>10</v>
      </c>
    </row>
    <row r="7449" spans="1:4" x14ac:dyDescent="0.25">
      <c r="A7449" t="str">
        <f>T("   392350")</f>
        <v xml:space="preserve">   392350</v>
      </c>
      <c r="B7449" t="str">
        <f>T("   Bouchons, couvercles, capsules et autres dispositifs de fermeture, en matières plastiques")</f>
        <v xml:space="preserve">   Bouchons, couvercles, capsules et autres dispositifs de fermeture, en matières plastiques</v>
      </c>
      <c r="C7449">
        <v>999004</v>
      </c>
      <c r="D7449">
        <v>336</v>
      </c>
    </row>
    <row r="7450" spans="1:4" x14ac:dyDescent="0.25">
      <c r="A7450" t="str">
        <f>T("   392410")</f>
        <v xml:space="preserve">   392410</v>
      </c>
      <c r="B7450" t="str">
        <f>T("   Vaisselle et autres articles pour le service de la table ou de la cuisine, en matières plastiques")</f>
        <v xml:space="preserve">   Vaisselle et autres articles pour le service de la table ou de la cuisine, en matières plastiques</v>
      </c>
      <c r="C7450">
        <v>4476014</v>
      </c>
      <c r="D7450">
        <v>5611</v>
      </c>
    </row>
    <row r="7451" spans="1:4" x14ac:dyDescent="0.25">
      <c r="A7451" t="str">
        <f>T("   392490")</f>
        <v xml:space="preserve">   392490</v>
      </c>
      <c r="B7451" t="s">
        <v>145</v>
      </c>
      <c r="C7451">
        <v>4193390</v>
      </c>
      <c r="D7451">
        <v>2774</v>
      </c>
    </row>
    <row r="7452" spans="1:4" x14ac:dyDescent="0.25">
      <c r="A7452" t="str">
        <f>T("   392590")</f>
        <v xml:space="preserve">   392590</v>
      </c>
      <c r="B7452" t="s">
        <v>146</v>
      </c>
      <c r="C7452">
        <v>4120575</v>
      </c>
      <c r="D7452">
        <v>5000</v>
      </c>
    </row>
    <row r="7453" spans="1:4" x14ac:dyDescent="0.25">
      <c r="A7453" t="str">
        <f>T("   392690")</f>
        <v xml:space="preserve">   392690</v>
      </c>
      <c r="B7453" t="str">
        <f>T("   Ouvrages en matières plastiques et ouvrages en autres matières du n° 3901 à 3914, n.d.a.")</f>
        <v xml:space="preserve">   Ouvrages en matières plastiques et ouvrages en autres matières du n° 3901 à 3914, n.d.a.</v>
      </c>
      <c r="C7453">
        <v>903584</v>
      </c>
      <c r="D7453">
        <v>2241</v>
      </c>
    </row>
    <row r="7454" spans="1:4" x14ac:dyDescent="0.25">
      <c r="A7454" t="str">
        <f>T("   400942")</f>
        <v xml:space="preserve">   400942</v>
      </c>
      <c r="B7454" t="s">
        <v>153</v>
      </c>
      <c r="C7454">
        <v>30293</v>
      </c>
      <c r="D7454">
        <v>78</v>
      </c>
    </row>
    <row r="7455" spans="1:4" x14ac:dyDescent="0.25">
      <c r="A7455" t="str">
        <f>T("   401120")</f>
        <v xml:space="preserve">   401120</v>
      </c>
      <c r="B7455" t="str">
        <f>T("   Pneumatiques neufs, en caoutchouc, des types utilisés pour les autobus ou les camions (à l'excl. des pneumatiques à crampons, à chevrons ou simil.)")</f>
        <v xml:space="preserve">   Pneumatiques neufs, en caoutchouc, des types utilisés pour les autobus ou les camions (à l'excl. des pneumatiques à crampons, à chevrons ou simil.)</v>
      </c>
      <c r="C7455">
        <v>998371</v>
      </c>
      <c r="D7455">
        <v>365</v>
      </c>
    </row>
    <row r="7456" spans="1:4" x14ac:dyDescent="0.25">
      <c r="A7456" t="str">
        <f>T("   401220")</f>
        <v xml:space="preserve">   401220</v>
      </c>
      <c r="B7456" t="str">
        <f>T("   Pneumatiques usagés, en caoutchouc")</f>
        <v xml:space="preserve">   Pneumatiques usagés, en caoutchouc</v>
      </c>
      <c r="C7456">
        <v>900000</v>
      </c>
      <c r="D7456">
        <v>63</v>
      </c>
    </row>
    <row r="7457" spans="1:4" x14ac:dyDescent="0.25">
      <c r="A7457" t="str">
        <f>T("   401693")</f>
        <v xml:space="preserve">   401693</v>
      </c>
      <c r="B7457" t="str">
        <f>T("   Joints en caoutchouc vulcanisé non durci (à l'excl. des articles en caoutchouc alvéolaire)")</f>
        <v xml:space="preserve">   Joints en caoutchouc vulcanisé non durci (à l'excl. des articles en caoutchouc alvéolaire)</v>
      </c>
      <c r="C7457">
        <v>38702</v>
      </c>
      <c r="D7457">
        <v>2</v>
      </c>
    </row>
    <row r="7458" spans="1:4" x14ac:dyDescent="0.25">
      <c r="A7458" t="str">
        <f>T("   401699")</f>
        <v xml:space="preserve">   401699</v>
      </c>
      <c r="B7458" t="str">
        <f>T("   OUVRAGES EN CAOUTCHOUC VULCANISÉ NON-DURCI, N.D.A.")</f>
        <v xml:space="preserve">   OUVRAGES EN CAOUTCHOUC VULCANISÉ NON-DURCI, N.D.A.</v>
      </c>
      <c r="C7458">
        <v>1210063</v>
      </c>
      <c r="D7458">
        <v>3578</v>
      </c>
    </row>
    <row r="7459" spans="1:4" x14ac:dyDescent="0.25">
      <c r="A7459" t="str">
        <f>T("   441700")</f>
        <v xml:space="preserve">   441700</v>
      </c>
      <c r="B7459" t="s">
        <v>181</v>
      </c>
      <c r="C7459">
        <v>39906</v>
      </c>
      <c r="D7459">
        <v>1450</v>
      </c>
    </row>
    <row r="7460" spans="1:4" x14ac:dyDescent="0.25">
      <c r="A7460" t="str">
        <f>T("   441890")</f>
        <v xml:space="preserve">   441890</v>
      </c>
      <c r="B7460" t="s">
        <v>182</v>
      </c>
      <c r="C7460">
        <v>6808578</v>
      </c>
      <c r="D7460">
        <v>4150</v>
      </c>
    </row>
    <row r="7461" spans="1:4" x14ac:dyDescent="0.25">
      <c r="A7461" t="str">
        <f>T("   480220")</f>
        <v xml:space="preserve">   480220</v>
      </c>
      <c r="B7461" t="str">
        <f>T("   Papiers et cartons supports pour papiers ou cartons photosensibles, sensibles à la chaleur ou électrosensibles, non couchés ni enduits, en rouleaux ou en feuilles de forme carrée ou rectangulaire, de tout format")</f>
        <v xml:space="preserve">   Papiers et cartons supports pour papiers ou cartons photosensibles, sensibles à la chaleur ou électrosensibles, non couchés ni enduits, en rouleaux ou en feuilles de forme carrée ou rectangulaire, de tout format</v>
      </c>
      <c r="C7461">
        <v>11030984</v>
      </c>
      <c r="D7461">
        <v>28601</v>
      </c>
    </row>
    <row r="7462" spans="1:4" x14ac:dyDescent="0.25">
      <c r="A7462" t="str">
        <f>T("   480300")</f>
        <v xml:space="preserve">   480300</v>
      </c>
      <c r="B7462" t="s">
        <v>194</v>
      </c>
      <c r="C7462">
        <v>89833180</v>
      </c>
      <c r="D7462">
        <v>313689</v>
      </c>
    </row>
    <row r="7463" spans="1:4" x14ac:dyDescent="0.25">
      <c r="A7463" t="str">
        <f>T("   480592")</f>
        <v xml:space="preserve">   480592</v>
      </c>
      <c r="B7463" t="str">
        <f>T("   Papiers et cartons, non couchés ni enduits, en rouleaux d'une largeur &gt; 36 cm ou en feuilles de forme carrée ou rectangulaire dont au moins un coté &gt; 36 cm et l'autre &gt; 15 cm à l'état non plié, d'un poids &gt; 150 g/m² mais &lt; 225 g/m², n.d.a.")</f>
        <v xml:space="preserve">   Papiers et cartons, non couchés ni enduits, en rouleaux d'une largeur &gt; 36 cm ou en feuilles de forme carrée ou rectangulaire dont au moins un coté &gt; 36 cm et l'autre &gt; 15 cm à l'état non plié, d'un poids &gt; 150 g/m² mais &lt; 225 g/m², n.d.a.</v>
      </c>
      <c r="C7463">
        <v>2696824</v>
      </c>
      <c r="D7463">
        <v>24891</v>
      </c>
    </row>
    <row r="7464" spans="1:4" x14ac:dyDescent="0.25">
      <c r="A7464" t="str">
        <f>T("   481810")</f>
        <v xml:space="preserve">   481810</v>
      </c>
      <c r="B7464" t="str">
        <f>T("   Papier hygiénique, en rouleaux d'une largeur &lt;= 36 cm")</f>
        <v xml:space="preserve">   Papier hygiénique, en rouleaux d'une largeur &lt;= 36 cm</v>
      </c>
      <c r="C7464">
        <v>122714</v>
      </c>
      <c r="D7464">
        <v>1266</v>
      </c>
    </row>
    <row r="7465" spans="1:4" x14ac:dyDescent="0.25">
      <c r="A7465" t="str">
        <f>T("   481820")</f>
        <v xml:space="preserve">   481820</v>
      </c>
      <c r="B7465" t="str">
        <f>T("   Mouchoirs, serviettes à démaquiller et essuie-mains, en pâte à papier, papier, ouate de cellulose ou nappes de fibres de cellulose")</f>
        <v xml:space="preserve">   Mouchoirs, serviettes à démaquiller et essuie-mains, en pâte à papier, papier, ouate de cellulose ou nappes de fibres de cellulose</v>
      </c>
      <c r="C7465">
        <v>3329244</v>
      </c>
      <c r="D7465">
        <v>14433</v>
      </c>
    </row>
    <row r="7466" spans="1:4" x14ac:dyDescent="0.25">
      <c r="A7466" t="str">
        <f>T("   481840")</f>
        <v xml:space="preserve">   481840</v>
      </c>
      <c r="B7466" t="str">
        <f>T("   Serviettes et tampons hygiéniques, couches pour bébés et articles hygiéniques simil., en pâte à papier, papier, ouate de cellulose ou nappes de fibres de cellulose")</f>
        <v xml:space="preserve">   Serviettes et tampons hygiéniques, couches pour bébés et articles hygiéniques simil., en pâte à papier, papier, ouate de cellulose ou nappes de fibres de cellulose</v>
      </c>
      <c r="C7466">
        <v>58640091</v>
      </c>
      <c r="D7466">
        <v>57391</v>
      </c>
    </row>
    <row r="7467" spans="1:4" x14ac:dyDescent="0.25">
      <c r="A7467" t="str">
        <f>T("   481910")</f>
        <v xml:space="preserve">   481910</v>
      </c>
      <c r="B7467" t="str">
        <f>T("   Boîtes et caisses en papier ou en carton ondulé")</f>
        <v xml:space="preserve">   Boîtes et caisses en papier ou en carton ondulé</v>
      </c>
      <c r="C7467">
        <v>191740</v>
      </c>
      <c r="D7467">
        <v>850</v>
      </c>
    </row>
    <row r="7468" spans="1:4" x14ac:dyDescent="0.25">
      <c r="A7468" t="str">
        <f>T("   482010")</f>
        <v xml:space="preserve">   482010</v>
      </c>
      <c r="B7468" t="str">
        <f>T("   Registres, livres comptables, carnets de notes, de commandes ou de quittances, blocs-mémorandums, blocs de papier à lettres, agendas et ouvrages simil., en papier ou carton")</f>
        <v xml:space="preserve">   Registres, livres comptables, carnets de notes, de commandes ou de quittances, blocs-mémorandums, blocs de papier à lettres, agendas et ouvrages simil., en papier ou carton</v>
      </c>
      <c r="C7468">
        <v>23171787</v>
      </c>
      <c r="D7468">
        <v>3551</v>
      </c>
    </row>
    <row r="7469" spans="1:4" x14ac:dyDescent="0.25">
      <c r="A7469" t="str">
        <f>T("   482312")</f>
        <v xml:space="preserve">   482312</v>
      </c>
      <c r="B7469" t="str">
        <f>T("   Papier auto-adhésif, en bandes ou en rouleaux d'une largeur &lt;= 36 cm (sauf colorié en surface, décoré en surface ou imprimé)")</f>
        <v xml:space="preserve">   Papier auto-adhésif, en bandes ou en rouleaux d'une largeur &lt;= 36 cm (sauf colorié en surface, décoré en surface ou imprimé)</v>
      </c>
      <c r="C7469">
        <v>20104</v>
      </c>
      <c r="D7469">
        <v>20</v>
      </c>
    </row>
    <row r="7470" spans="1:4" x14ac:dyDescent="0.25">
      <c r="A7470" t="str">
        <f>T("   482390")</f>
        <v xml:space="preserve">   482390</v>
      </c>
      <c r="B7470" t="s">
        <v>218</v>
      </c>
      <c r="C7470">
        <v>599849</v>
      </c>
      <c r="D7470">
        <v>1883</v>
      </c>
    </row>
    <row r="7471" spans="1:4" x14ac:dyDescent="0.25">
      <c r="A7471" t="str">
        <f>T("   490199")</f>
        <v xml:space="preserve">   490199</v>
      </c>
      <c r="B7471"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7471">
        <v>581943</v>
      </c>
      <c r="D7471">
        <v>60</v>
      </c>
    </row>
    <row r="7472" spans="1:4" x14ac:dyDescent="0.25">
      <c r="A7472" t="str">
        <f>T("   491000")</f>
        <v xml:space="preserve">   491000</v>
      </c>
      <c r="B7472" t="str">
        <f>T("   Calendriers de tous genres, imprimés, y.c. les blocs de calendriers à effeuiller")</f>
        <v xml:space="preserve">   Calendriers de tous genres, imprimés, y.c. les blocs de calendriers à effeuiller</v>
      </c>
      <c r="C7472">
        <v>7603</v>
      </c>
      <c r="D7472">
        <v>3.5</v>
      </c>
    </row>
    <row r="7473" spans="1:4" x14ac:dyDescent="0.25">
      <c r="A7473" t="str">
        <f>T("   491110")</f>
        <v xml:space="preserve">   491110</v>
      </c>
      <c r="B7473" t="str">
        <f>T("   Imprimés publicitaires, catalogues commerciaux et simil.")</f>
        <v xml:space="preserve">   Imprimés publicitaires, catalogues commerciaux et simil.</v>
      </c>
      <c r="C7473">
        <v>203584</v>
      </c>
      <c r="D7473">
        <v>421</v>
      </c>
    </row>
    <row r="7474" spans="1:4" x14ac:dyDescent="0.25">
      <c r="A7474" t="str">
        <f>T("   570320")</f>
        <v xml:space="preserve">   570320</v>
      </c>
      <c r="B7474" t="str">
        <f>T("   Tapis et autres revêtements de sol, de nylon ou d'autres polyamides, touffetés, même confectionnés")</f>
        <v xml:space="preserve">   Tapis et autres revêtements de sol, de nylon ou d'autres polyamides, touffetés, même confectionnés</v>
      </c>
      <c r="C7474">
        <v>15339</v>
      </c>
      <c r="D7474">
        <v>130</v>
      </c>
    </row>
    <row r="7475" spans="1:4" x14ac:dyDescent="0.25">
      <c r="A7475" t="str">
        <f>T("   610910")</f>
        <v xml:space="preserve">   610910</v>
      </c>
      <c r="B7475" t="str">
        <f>T("   T-shirts et maillots de corps, en bonneterie, de coton,")</f>
        <v xml:space="preserve">   T-shirts et maillots de corps, en bonneterie, de coton,</v>
      </c>
      <c r="C7475">
        <v>770795</v>
      </c>
      <c r="D7475">
        <v>425</v>
      </c>
    </row>
    <row r="7476" spans="1:4" x14ac:dyDescent="0.25">
      <c r="A7476" t="str">
        <f>T("   620329")</f>
        <v xml:space="preserve">   620329</v>
      </c>
      <c r="B7476" t="str">
        <f>T("   ENSEMBLES DE MATIÈRES TEXTILES, POUR HOMMES OU GARÇONNETS (AUTRES QUE DE COTON OU FIBRES SYNTHÉTIQUES, AUTRES QU'EN BONNETERIE ET SAUF ENSEMBLES DE SKI ET MAILLOTS, CULOTTES ET SLIPS DE BAIN)")</f>
        <v xml:space="preserve">   ENSEMBLES DE MATIÈRES TEXTILES, POUR HOMMES OU GARÇONNETS (AUTRES QUE DE COTON OU FIBRES SYNTHÉTIQUES, AUTRES QU'EN BONNETERIE ET SAUF ENSEMBLES DE SKI ET MAILLOTS, CULOTTES ET SLIPS DE BAIN)</v>
      </c>
      <c r="C7476">
        <v>76696</v>
      </c>
      <c r="D7476">
        <v>350</v>
      </c>
    </row>
    <row r="7477" spans="1:4" x14ac:dyDescent="0.25">
      <c r="A7477" t="str">
        <f>T("   620342")</f>
        <v xml:space="preserve">   620342</v>
      </c>
      <c r="B7477" t="str">
        <f>T("   Pantalons, y.c. knickers et pantalons simil., salopettes à bretelles, culottes et shorts, de coton, pour hommes ou garçonnets (autres qu'en bonneterie et sauf slips et caleçons ainsi que maillots, culottes et slips de bain)")</f>
        <v xml:space="preserve">   Pantalons, y.c. knickers et pantalons simil., salopettes à bretelles, culottes et shorts, de coton, pour hommes ou garçonnets (autres qu'en bonneterie et sauf slips et caleçons ainsi que maillots, culottes et slips de bain)</v>
      </c>
      <c r="C7477">
        <v>11412844</v>
      </c>
      <c r="D7477">
        <v>6298</v>
      </c>
    </row>
    <row r="7478" spans="1:4" x14ac:dyDescent="0.25">
      <c r="A7478" t="str">
        <f>T("   620349")</f>
        <v xml:space="preserve">   620349</v>
      </c>
      <c r="B7478" t="s">
        <v>268</v>
      </c>
      <c r="C7478">
        <v>350405</v>
      </c>
      <c r="D7478">
        <v>195</v>
      </c>
    </row>
    <row r="7479" spans="1:4" x14ac:dyDescent="0.25">
      <c r="A7479" t="str">
        <f>T("   620520")</f>
        <v xml:space="preserve">   620520</v>
      </c>
      <c r="B7479" t="str">
        <f>T("   Chemises et chemisettes, de coton, pour hommes ou garçonnets (autres qu'en bonneterie et sauf chemises de nuit et gilets de corps)")</f>
        <v xml:space="preserve">   Chemises et chemisettes, de coton, pour hommes ou garçonnets (autres qu'en bonneterie et sauf chemises de nuit et gilets de corps)</v>
      </c>
      <c r="C7479">
        <v>3635870</v>
      </c>
      <c r="D7479">
        <v>2006</v>
      </c>
    </row>
    <row r="7480" spans="1:4" x14ac:dyDescent="0.25">
      <c r="A7480" t="str">
        <f>T("   620899")</f>
        <v xml:space="preserve">   620899</v>
      </c>
      <c r="B7480" t="s">
        <v>271</v>
      </c>
      <c r="C7480">
        <v>67109</v>
      </c>
      <c r="D7480">
        <v>250</v>
      </c>
    </row>
    <row r="7481" spans="1:4" x14ac:dyDescent="0.25">
      <c r="A7481" t="str">
        <f>T("   621040")</f>
        <v xml:space="preserve">   621040</v>
      </c>
      <c r="B7481" t="s">
        <v>272</v>
      </c>
      <c r="C7481">
        <v>7254231</v>
      </c>
      <c r="D7481">
        <v>334</v>
      </c>
    </row>
    <row r="7482" spans="1:4" x14ac:dyDescent="0.25">
      <c r="A7482" t="str">
        <f>T("   621390")</f>
        <v xml:space="preserve">   621390</v>
      </c>
      <c r="B7482" t="str">
        <f>T("   Mouchoirs et pochettes dont un côté &lt;= 60 cm, de matières textiles (autres que de soie et déchets de soie ou coton, autres qu'en bonneterie)")</f>
        <v xml:space="preserve">   Mouchoirs et pochettes dont un côté &lt;= 60 cm, de matières textiles (autres que de soie et déchets de soie ou coton, autres qu'en bonneterie)</v>
      </c>
      <c r="C7482">
        <v>724777</v>
      </c>
      <c r="D7482">
        <v>768</v>
      </c>
    </row>
    <row r="7483" spans="1:4" x14ac:dyDescent="0.25">
      <c r="A7483" t="str">
        <f>T("   640299")</f>
        <v xml:space="preserve">   640299</v>
      </c>
      <c r="B7483" t="s">
        <v>285</v>
      </c>
      <c r="C7483">
        <v>9713548</v>
      </c>
      <c r="D7483">
        <v>5360</v>
      </c>
    </row>
    <row r="7484" spans="1:4" x14ac:dyDescent="0.25">
      <c r="A7484" t="str">
        <f>T("   640391")</f>
        <v xml:space="preserve">   640391</v>
      </c>
      <c r="B7484" t="s">
        <v>287</v>
      </c>
      <c r="C7484">
        <v>962055</v>
      </c>
      <c r="D7484">
        <v>530</v>
      </c>
    </row>
    <row r="7485" spans="1:4" x14ac:dyDescent="0.25">
      <c r="A7485" t="str">
        <f>T("   640590")</f>
        <v xml:space="preserve">   640590</v>
      </c>
      <c r="B7485" t="s">
        <v>290</v>
      </c>
      <c r="C7485">
        <v>6578120</v>
      </c>
      <c r="D7485">
        <v>6314</v>
      </c>
    </row>
    <row r="7486" spans="1:4" x14ac:dyDescent="0.25">
      <c r="A7486" t="str">
        <f>T("   680520")</f>
        <v xml:space="preserve">   680520</v>
      </c>
      <c r="B7486" t="str">
        <f>T("   ABRASIFS NATURELS OU ARTIFICIELS EN POUDRE OU EN GRAINS, APPLIQUÉS SUR FOND EN MATIÈRES TEXTILES SEULEMENT, MÊME DÉCOUPÉS, COUSUS OU AUTREMENT ASSEMBLÉS")</f>
        <v xml:space="preserve">   ABRASIFS NATURELS OU ARTIFICIELS EN POUDRE OU EN GRAINS, APPLIQUÉS SUR FOND EN MATIÈRES TEXTILES SEULEMENT, MÊME DÉCOUPÉS, COUSUS OU AUTREMENT ASSEMBLÉS</v>
      </c>
      <c r="C7486">
        <v>271468</v>
      </c>
      <c r="D7486">
        <v>701</v>
      </c>
    </row>
    <row r="7487" spans="1:4" x14ac:dyDescent="0.25">
      <c r="A7487" t="str">
        <f>T("   690890")</f>
        <v xml:space="preserve">   690890</v>
      </c>
      <c r="B7487" t="s">
        <v>311</v>
      </c>
      <c r="C7487">
        <v>33536421</v>
      </c>
      <c r="D7487">
        <v>293150</v>
      </c>
    </row>
    <row r="7488" spans="1:4" x14ac:dyDescent="0.25">
      <c r="A7488" t="str">
        <f>T("   691010")</f>
        <v xml:space="preserve">   691010</v>
      </c>
      <c r="B7488" t="s">
        <v>312</v>
      </c>
      <c r="C7488">
        <v>7000000</v>
      </c>
      <c r="D7488">
        <v>12750</v>
      </c>
    </row>
    <row r="7489" spans="1:4" x14ac:dyDescent="0.25">
      <c r="A7489" t="str">
        <f>T("   700529")</f>
        <v xml:space="preserve">   700529</v>
      </c>
      <c r="B7489" t="s">
        <v>318</v>
      </c>
      <c r="C7489">
        <v>4142404</v>
      </c>
      <c r="D7489">
        <v>176</v>
      </c>
    </row>
    <row r="7490" spans="1:4" x14ac:dyDescent="0.25">
      <c r="A7490" t="str">
        <f>T("   700992")</f>
        <v xml:space="preserve">   700992</v>
      </c>
      <c r="B7490" t="str">
        <f>T("   Miroirs, en verre encadrés (sauf miroirs rétroviseurs pour véhicules)")</f>
        <v xml:space="preserve">   Miroirs, en verre encadrés (sauf miroirs rétroviseurs pour véhicules)</v>
      </c>
      <c r="C7490">
        <v>1117399</v>
      </c>
      <c r="D7490">
        <v>1990</v>
      </c>
    </row>
    <row r="7491" spans="1:4" x14ac:dyDescent="0.25">
      <c r="A7491" t="str">
        <f>T("   701329")</f>
        <v xml:space="preserve">   701329</v>
      </c>
      <c r="B7491" t="str">
        <f>T("   Verres à boire (autres qu'en vitrocérame, autres qu'en cristal au plomb)")</f>
        <v xml:space="preserve">   Verres à boire (autres qu'en vitrocérame, autres qu'en cristal au plomb)</v>
      </c>
      <c r="C7491">
        <v>7465994</v>
      </c>
      <c r="D7491">
        <v>15549.61</v>
      </c>
    </row>
    <row r="7492" spans="1:4" x14ac:dyDescent="0.25">
      <c r="A7492" t="str">
        <f>T("   701339")</f>
        <v xml:space="preserve">   701339</v>
      </c>
      <c r="B7492" t="s">
        <v>327</v>
      </c>
      <c r="C7492">
        <v>1273008</v>
      </c>
      <c r="D7492">
        <v>3098</v>
      </c>
    </row>
    <row r="7493" spans="1:4" x14ac:dyDescent="0.25">
      <c r="A7493" t="str">
        <f>T("   701399")</f>
        <v xml:space="preserve">   701399</v>
      </c>
      <c r="B7493" t="s">
        <v>328</v>
      </c>
      <c r="C7493">
        <v>10255144</v>
      </c>
      <c r="D7493">
        <v>21773.43</v>
      </c>
    </row>
    <row r="7494" spans="1:4" x14ac:dyDescent="0.25">
      <c r="A7494" t="str">
        <f>T("   711790")</f>
        <v xml:space="preserve">   711790</v>
      </c>
      <c r="B7494" t="str">
        <f>T("   Bijouterie de fantaisie (autre qu'en métaux communs, même argentés, dorés ou platinés)")</f>
        <v xml:space="preserve">   Bijouterie de fantaisie (autre qu'en métaux communs, même argentés, dorés ou platinés)</v>
      </c>
      <c r="C7494">
        <v>360000</v>
      </c>
      <c r="D7494">
        <v>180</v>
      </c>
    </row>
    <row r="7495" spans="1:4" x14ac:dyDescent="0.25">
      <c r="A7495" t="str">
        <f>T("   721410")</f>
        <v xml:space="preserve">   721410</v>
      </c>
      <c r="B7495" t="str">
        <f>T("   Barres, en fer ou en aciers non alliés, simplement forgées")</f>
        <v xml:space="preserve">   Barres, en fer ou en aciers non alliés, simplement forgées</v>
      </c>
      <c r="C7495">
        <v>157371</v>
      </c>
      <c r="D7495">
        <v>1057</v>
      </c>
    </row>
    <row r="7496" spans="1:4" x14ac:dyDescent="0.25">
      <c r="A7496" t="str">
        <f>T("   731812")</f>
        <v xml:space="preserve">   731812</v>
      </c>
      <c r="B7496" t="str">
        <f>T("   Vis à bois en fonte, fer ou acier (autres que tire-fond)")</f>
        <v xml:space="preserve">   Vis à bois en fonte, fer ou acier (autres que tire-fond)</v>
      </c>
      <c r="C7496">
        <v>124151</v>
      </c>
      <c r="D7496">
        <v>258</v>
      </c>
    </row>
    <row r="7497" spans="1:4" x14ac:dyDescent="0.25">
      <c r="A7497" t="str">
        <f>T("   731815")</f>
        <v xml:space="preserve">   731815</v>
      </c>
      <c r="B7497" t="s">
        <v>354</v>
      </c>
      <c r="C7497">
        <v>727773</v>
      </c>
      <c r="D7497">
        <v>1661</v>
      </c>
    </row>
    <row r="7498" spans="1:4" x14ac:dyDescent="0.25">
      <c r="A7498" t="str">
        <f>T("   731819")</f>
        <v xml:space="preserve">   731819</v>
      </c>
      <c r="B7498" t="str">
        <f>T("   Articles de boulonnerie et de visserie, filetés, en fonte, fer ou acier, n.d.a.")</f>
        <v xml:space="preserve">   Articles de boulonnerie et de visserie, filetés, en fonte, fer ou acier, n.d.a.</v>
      </c>
      <c r="C7498">
        <v>1320130</v>
      </c>
      <c r="D7498">
        <v>5380</v>
      </c>
    </row>
    <row r="7499" spans="1:4" x14ac:dyDescent="0.25">
      <c r="A7499" t="str">
        <f>T("   732392")</f>
        <v xml:space="preserve">   732392</v>
      </c>
      <c r="B7499" t="s">
        <v>359</v>
      </c>
      <c r="C7499">
        <v>1891529</v>
      </c>
      <c r="D7499">
        <v>7400</v>
      </c>
    </row>
    <row r="7500" spans="1:4" x14ac:dyDescent="0.25">
      <c r="A7500" t="str">
        <f>T("   732393")</f>
        <v xml:space="preserve">   732393</v>
      </c>
      <c r="B7500" t="s">
        <v>360</v>
      </c>
      <c r="C7500">
        <v>183591</v>
      </c>
      <c r="D7500">
        <v>1233</v>
      </c>
    </row>
    <row r="7501" spans="1:4" x14ac:dyDescent="0.25">
      <c r="A7501" t="str">
        <f>T("   732394")</f>
        <v xml:space="preserve">   732394</v>
      </c>
      <c r="B7501" t="s">
        <v>361</v>
      </c>
      <c r="C7501">
        <v>213517</v>
      </c>
      <c r="D7501">
        <v>340</v>
      </c>
    </row>
    <row r="7502" spans="1:4" x14ac:dyDescent="0.25">
      <c r="A7502" t="str">
        <f>T("   732399")</f>
        <v xml:space="preserve">   732399</v>
      </c>
      <c r="B7502" t="s">
        <v>362</v>
      </c>
      <c r="C7502">
        <v>3703239</v>
      </c>
      <c r="D7502">
        <v>2687</v>
      </c>
    </row>
    <row r="7503" spans="1:4" x14ac:dyDescent="0.25">
      <c r="A7503" t="str">
        <f>T("   732690")</f>
        <v xml:space="preserve">   732690</v>
      </c>
      <c r="B7503"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7503">
        <v>4939058</v>
      </c>
      <c r="D7503">
        <v>5334</v>
      </c>
    </row>
    <row r="7504" spans="1:4" x14ac:dyDescent="0.25">
      <c r="A7504" t="str">
        <f>T("   760410")</f>
        <v xml:space="preserve">   760410</v>
      </c>
      <c r="B7504" t="str">
        <f>T("   BARRES ET PROFILÉS EN ALUMINIUM NON-ALLIÉ, N.D.A.")</f>
        <v xml:space="preserve">   BARRES ET PROFILÉS EN ALUMINIUM NON-ALLIÉ, N.D.A.</v>
      </c>
      <c r="C7504">
        <v>4097599</v>
      </c>
      <c r="D7504">
        <v>15270</v>
      </c>
    </row>
    <row r="7505" spans="1:4" x14ac:dyDescent="0.25">
      <c r="A7505" t="str">
        <f>T("   760429")</f>
        <v xml:space="preserve">   760429</v>
      </c>
      <c r="B7505" t="str">
        <f>T("   Barres et profilés pleins en alliages d'aluminium, n.d.a.")</f>
        <v xml:space="preserve">   Barres et profilés pleins en alliages d'aluminium, n.d.a.</v>
      </c>
      <c r="C7505">
        <v>14981381</v>
      </c>
      <c r="D7505">
        <v>37597</v>
      </c>
    </row>
    <row r="7506" spans="1:4" x14ac:dyDescent="0.25">
      <c r="A7506" t="str">
        <f>T("   760719")</f>
        <v xml:space="preserve">   760719</v>
      </c>
      <c r="B7506" t="str">
        <f>T("   Feuilles et bandes minces d'aluminium, sans support, laminées et autrement traitées, d'une épaisseur &lt;= 0,2 mm (sauf feuilles pour le marquage au fer du n° 3212 et sauf feuilles travaillées pour la décoration des sapins de Noël)")</f>
        <v xml:space="preserve">   Feuilles et bandes minces d'aluminium, sans support, laminées et autrement traitées, d'une épaisseur &lt;= 0,2 mm (sauf feuilles pour le marquage au fer du n° 3212 et sauf feuilles travaillées pour la décoration des sapins de Noël)</v>
      </c>
      <c r="C7506">
        <v>530640</v>
      </c>
      <c r="D7506">
        <v>630</v>
      </c>
    </row>
    <row r="7507" spans="1:4" x14ac:dyDescent="0.25">
      <c r="A7507" t="str">
        <f>T("   761010")</f>
        <v xml:space="preserve">   761010</v>
      </c>
      <c r="B7507" t="str">
        <f>T("   Portes, fenêtres et leurs cadres, chambranles et seuils, en aluminium (sauf pièces de garnissage)")</f>
        <v xml:space="preserve">   Portes, fenêtres et leurs cadres, chambranles et seuils, en aluminium (sauf pièces de garnissage)</v>
      </c>
      <c r="C7507">
        <v>3930138</v>
      </c>
      <c r="D7507">
        <v>3250</v>
      </c>
    </row>
    <row r="7508" spans="1:4" x14ac:dyDescent="0.25">
      <c r="A7508" t="str">
        <f>T("   800600")</f>
        <v xml:space="preserve">   800600</v>
      </c>
      <c r="B7508" t="str">
        <f>T("   Tubes, tuyaux et accessoires de tuyauterie -raccords, coudes, manchons, par exemple-, en étain")</f>
        <v xml:space="preserve">   Tubes, tuyaux et accessoires de tuyauterie -raccords, coudes, manchons, par exemple-, en étain</v>
      </c>
      <c r="C7508">
        <v>933031</v>
      </c>
      <c r="D7508">
        <v>2300</v>
      </c>
    </row>
    <row r="7509" spans="1:4" x14ac:dyDescent="0.25">
      <c r="A7509" t="str">
        <f>T("   820540")</f>
        <v xml:space="preserve">   820540</v>
      </c>
      <c r="B7509" t="str">
        <f>T("   Tournevis à main")</f>
        <v xml:space="preserve">   Tournevis à main</v>
      </c>
      <c r="C7509">
        <v>103880</v>
      </c>
      <c r="D7509">
        <v>40</v>
      </c>
    </row>
    <row r="7510" spans="1:4" x14ac:dyDescent="0.25">
      <c r="A7510" t="str">
        <f>T("   820559")</f>
        <v xml:space="preserve">   820559</v>
      </c>
      <c r="B7510" t="str">
        <f>T("   Outils à main, y.c. -les diamants de vitrier-, en métaux communs, n.d.a.")</f>
        <v xml:space="preserve">   Outils à main, y.c. -les diamants de vitrier-, en métaux communs, n.d.a.</v>
      </c>
      <c r="C7510">
        <v>14374052</v>
      </c>
      <c r="D7510">
        <v>5256</v>
      </c>
    </row>
    <row r="7511" spans="1:4" x14ac:dyDescent="0.25">
      <c r="A7511" t="str">
        <f>T("   820890")</f>
        <v xml:space="preserve">   820890</v>
      </c>
      <c r="B7511" t="s">
        <v>371</v>
      </c>
      <c r="C7511">
        <v>460176</v>
      </c>
      <c r="D7511">
        <v>11</v>
      </c>
    </row>
    <row r="7512" spans="1:4" x14ac:dyDescent="0.25">
      <c r="A7512" t="str">
        <f>T("   821000")</f>
        <v xml:space="preserve">   821000</v>
      </c>
      <c r="B7512" t="s">
        <v>372</v>
      </c>
      <c r="C7512">
        <v>121276</v>
      </c>
      <c r="D7512">
        <v>355</v>
      </c>
    </row>
    <row r="7513" spans="1:4" x14ac:dyDescent="0.25">
      <c r="A7513" t="str">
        <f>T("   830140")</f>
        <v xml:space="preserve">   830140</v>
      </c>
      <c r="B7513" t="str">
        <f>T("   Serrures et verrous, en métaux communs (autres que cadenas et serrures des types utilisés pour véhicules automobiles ou meubles)")</f>
        <v xml:space="preserve">   Serrures et verrous, en métaux communs (autres que cadenas et serrures des types utilisés pour véhicules automobiles ou meubles)</v>
      </c>
      <c r="C7513">
        <v>111152</v>
      </c>
      <c r="D7513">
        <v>528</v>
      </c>
    </row>
    <row r="7514" spans="1:4" x14ac:dyDescent="0.25">
      <c r="A7514" t="str">
        <f>T("   830210")</f>
        <v xml:space="preserve">   830210</v>
      </c>
      <c r="B7514" t="str">
        <f>T("   Charnières de tous genres, y.c. les paumelles et pentures, en métaux communs")</f>
        <v xml:space="preserve">   Charnières de tous genres, y.c. les paumelles et pentures, en métaux communs</v>
      </c>
      <c r="C7514">
        <v>744430</v>
      </c>
      <c r="D7514">
        <v>1549</v>
      </c>
    </row>
    <row r="7515" spans="1:4" x14ac:dyDescent="0.25">
      <c r="A7515" t="str">
        <f>T("   830249")</f>
        <v xml:space="preserve">   830249</v>
      </c>
      <c r="B7515" t="s">
        <v>375</v>
      </c>
      <c r="C7515">
        <v>2760205</v>
      </c>
      <c r="D7515">
        <v>7067</v>
      </c>
    </row>
    <row r="7516" spans="1:4" x14ac:dyDescent="0.25">
      <c r="A7516" t="str">
        <f>T("   830520")</f>
        <v xml:space="preserve">   830520</v>
      </c>
      <c r="B7516" t="str">
        <f>T("   Agrafes présentées en barrettes, en métaux communs")</f>
        <v xml:space="preserve">   Agrafes présentées en barrettes, en métaux communs</v>
      </c>
      <c r="C7516">
        <v>1079328</v>
      </c>
      <c r="D7516">
        <v>2358</v>
      </c>
    </row>
    <row r="7517" spans="1:4" x14ac:dyDescent="0.25">
      <c r="A7517" t="str">
        <f>T("   840999")</f>
        <v xml:space="preserve">   840999</v>
      </c>
      <c r="B7517" t="str">
        <f>T("   Parties reconnaissables comme étant exclusivement ou principalement destinées aux moteurs à piston à allumage par compression, n.d.a.")</f>
        <v xml:space="preserve">   Parties reconnaissables comme étant exclusivement ou principalement destinées aux moteurs à piston à allumage par compression, n.d.a.</v>
      </c>
      <c r="C7517">
        <v>615214</v>
      </c>
      <c r="D7517">
        <v>33</v>
      </c>
    </row>
    <row r="7518" spans="1:4" x14ac:dyDescent="0.25">
      <c r="A7518" t="str">
        <f>T("   841311")</f>
        <v xml:space="preserve">   841311</v>
      </c>
      <c r="B7518" t="str">
        <f>T("   Pompes pour distribution, comportant un dispositif mesureur de liquide ou conçues pour en comporter pour carburants ou lubrifiants, des types utilisés dans les stations-service ou les garages")</f>
        <v xml:space="preserve">   Pompes pour distribution, comportant un dispositif mesureur de liquide ou conçues pour en comporter pour carburants ou lubrifiants, des types utilisés dans les stations-service ou les garages</v>
      </c>
      <c r="C7518">
        <v>54406225</v>
      </c>
      <c r="D7518">
        <v>35874</v>
      </c>
    </row>
    <row r="7519" spans="1:4" x14ac:dyDescent="0.25">
      <c r="A7519" t="str">
        <f>T("   841391")</f>
        <v xml:space="preserve">   841391</v>
      </c>
      <c r="B7519" t="str">
        <f>T("   Parties de pompes pour liquides, n.d.a.")</f>
        <v xml:space="preserve">   Parties de pompes pour liquides, n.d.a.</v>
      </c>
      <c r="C7519">
        <v>173525</v>
      </c>
      <c r="D7519">
        <v>1200</v>
      </c>
    </row>
    <row r="7520" spans="1:4" x14ac:dyDescent="0.25">
      <c r="A7520" t="str">
        <f>T("   841430")</f>
        <v xml:space="preserve">   841430</v>
      </c>
      <c r="B7520" t="str">
        <f>T("   Compresseurs des types utilisés pour équipements frigorifiques")</f>
        <v xml:space="preserve">   Compresseurs des types utilisés pour équipements frigorifiques</v>
      </c>
      <c r="C7520">
        <v>7246823</v>
      </c>
      <c r="D7520">
        <v>4439</v>
      </c>
    </row>
    <row r="7521" spans="1:4" x14ac:dyDescent="0.25">
      <c r="A7521" t="str">
        <f>T("   841451")</f>
        <v xml:space="preserve">   841451</v>
      </c>
      <c r="B7521" t="str">
        <f>T("   Ventilateurs de table, de sol, muraux, plafonniers, de toitures ou de fenêtres, à moteur électrique incorporé, d'une puissance &lt;= 125 W")</f>
        <v xml:space="preserve">   Ventilateurs de table, de sol, muraux, plafonniers, de toitures ou de fenêtres, à moteur électrique incorporé, d'une puissance &lt;= 125 W</v>
      </c>
      <c r="C7521">
        <v>663176</v>
      </c>
      <c r="D7521">
        <v>913</v>
      </c>
    </row>
    <row r="7522" spans="1:4" x14ac:dyDescent="0.25">
      <c r="A7522" t="str">
        <f>T("   841480")</f>
        <v xml:space="preserve">   841480</v>
      </c>
      <c r="B7522" t="s">
        <v>394</v>
      </c>
      <c r="C7522">
        <v>1527467</v>
      </c>
      <c r="D7522">
        <v>975</v>
      </c>
    </row>
    <row r="7523" spans="1:4" x14ac:dyDescent="0.25">
      <c r="A7523" t="str">
        <f>T("   841510")</f>
        <v xml:space="preserve">   841510</v>
      </c>
      <c r="B7523" t="s">
        <v>395</v>
      </c>
      <c r="C7523">
        <v>43228860</v>
      </c>
      <c r="D7523">
        <v>50918</v>
      </c>
    </row>
    <row r="7524" spans="1:4" x14ac:dyDescent="0.25">
      <c r="A7524" t="str">
        <f>T("   841810")</f>
        <v xml:space="preserve">   841810</v>
      </c>
      <c r="B7524" t="str">
        <f>T("   Réfrigérateurs et congélateurs-conservateurs combinés, avec portes extérieures séparées")</f>
        <v xml:space="preserve">   Réfrigérateurs et congélateurs-conservateurs combinés, avec portes extérieures séparées</v>
      </c>
      <c r="C7524">
        <v>50901683</v>
      </c>
      <c r="D7524">
        <v>46016</v>
      </c>
    </row>
    <row r="7525" spans="1:4" x14ac:dyDescent="0.25">
      <c r="A7525" t="str">
        <f>T("   841821")</f>
        <v xml:space="preserve">   841821</v>
      </c>
      <c r="B7525" t="str">
        <f>T("   Réfrigérateurs ménagers à compression")</f>
        <v xml:space="preserve">   Réfrigérateurs ménagers à compression</v>
      </c>
      <c r="C7525">
        <v>9095390</v>
      </c>
      <c r="D7525">
        <v>15839</v>
      </c>
    </row>
    <row r="7526" spans="1:4" x14ac:dyDescent="0.25">
      <c r="A7526" t="str">
        <f>T("   841829")</f>
        <v xml:space="preserve">   841829</v>
      </c>
      <c r="B7526" t="str">
        <f>T("   Réfrigérateurs ménagers à absorption, non-électriques")</f>
        <v xml:space="preserve">   Réfrigérateurs ménagers à absorption, non-électriques</v>
      </c>
      <c r="C7526">
        <v>9227030</v>
      </c>
      <c r="D7526">
        <v>6132</v>
      </c>
    </row>
    <row r="7527" spans="1:4" x14ac:dyDescent="0.25">
      <c r="A7527" t="str">
        <f>T("   841830")</f>
        <v xml:space="preserve">   841830</v>
      </c>
      <c r="B7527" t="str">
        <f>T("   Meubles congélateurs-conservateurs du type coffre, capacité &lt;= 800 l")</f>
        <v xml:space="preserve">   Meubles congélateurs-conservateurs du type coffre, capacité &lt;= 800 l</v>
      </c>
      <c r="C7527">
        <v>15812979</v>
      </c>
      <c r="D7527">
        <v>12600</v>
      </c>
    </row>
    <row r="7528" spans="1:4" x14ac:dyDescent="0.25">
      <c r="A7528" t="str">
        <f>T("   841869")</f>
        <v xml:space="preserve">   841869</v>
      </c>
      <c r="B7528" t="str">
        <f>T("   Matériel, machines et appareils pour la production du froid ainsi que pompes à chaleur à absorption (autres que réfrigérateurs et meubles congélateurs-conservateurs)")</f>
        <v xml:space="preserve">   Matériel, machines et appareils pour la production du froid ainsi que pompes à chaleur à absorption (autres que réfrigérateurs et meubles congélateurs-conservateurs)</v>
      </c>
      <c r="C7528">
        <v>9141960</v>
      </c>
      <c r="D7528">
        <v>4036</v>
      </c>
    </row>
    <row r="7529" spans="1:4" x14ac:dyDescent="0.25">
      <c r="A7529" t="str">
        <f>T("   842129")</f>
        <v xml:space="preserve">   842129</v>
      </c>
      <c r="B7529" t="str">
        <f>T("   Appareils pour la filtration ou l'épuration des liquides (à l'excl. de l'eau ou des boissons, des huiles minérales et carburants pour les moteurs à allumage par étincelles ou par compression ainsi que les reins artificiels)")</f>
        <v xml:space="preserve">   Appareils pour la filtration ou l'épuration des liquides (à l'excl. de l'eau ou des boissons, des huiles minérales et carburants pour les moteurs à allumage par étincelles ou par compression ainsi que les reins artificiels)</v>
      </c>
      <c r="C7529">
        <v>49311</v>
      </c>
      <c r="D7529">
        <v>138</v>
      </c>
    </row>
    <row r="7530" spans="1:4" x14ac:dyDescent="0.25">
      <c r="A7530" t="str">
        <f>T("   842240")</f>
        <v xml:space="preserve">   842240</v>
      </c>
      <c r="B7530" t="s">
        <v>402</v>
      </c>
      <c r="C7530">
        <v>184626</v>
      </c>
      <c r="D7530">
        <v>574</v>
      </c>
    </row>
    <row r="7531" spans="1:4" x14ac:dyDescent="0.25">
      <c r="A7531" t="str">
        <f>T("   842420")</f>
        <v xml:space="preserve">   842420</v>
      </c>
      <c r="B7531" t="s">
        <v>404</v>
      </c>
      <c r="C7531">
        <v>184432</v>
      </c>
      <c r="D7531">
        <v>499</v>
      </c>
    </row>
    <row r="7532" spans="1:4" x14ac:dyDescent="0.25">
      <c r="A7532" t="str">
        <f>T("   842489")</f>
        <v xml:space="preserve">   842489</v>
      </c>
      <c r="B7532" t="str">
        <f>T("   Machines et appareils mécaniques, même à main, à projeter, disperser ou pulvériser des matières liquides ou en poudre, n.d.a.")</f>
        <v xml:space="preserve">   Machines et appareils mécaniques, même à main, à projeter, disperser ou pulvériser des matières liquides ou en poudre, n.d.a.</v>
      </c>
      <c r="C7532">
        <v>194839</v>
      </c>
      <c r="D7532">
        <v>550</v>
      </c>
    </row>
    <row r="7533" spans="1:4" x14ac:dyDescent="0.25">
      <c r="A7533" t="str">
        <f>T("   843139")</f>
        <v xml:space="preserve">   843139</v>
      </c>
      <c r="B7533" t="str">
        <f>T("   Parties de machines et appareils du n° 8428, n.d.a.")</f>
        <v xml:space="preserve">   Parties de machines et appareils du n° 8428, n.d.a.</v>
      </c>
      <c r="C7533">
        <v>808184</v>
      </c>
      <c r="D7533">
        <v>250</v>
      </c>
    </row>
    <row r="7534" spans="1:4" x14ac:dyDescent="0.25">
      <c r="A7534" t="str">
        <f>T("   844240")</f>
        <v xml:space="preserve">   844240</v>
      </c>
      <c r="B7534" t="str">
        <f>T("   Parties de machines, appareils ou matériel à fondre ou à composer les caractères ou pour la préparation ou la fabrication de clichés, planches, cylindres ou autres organes imprimants, n.d.a.")</f>
        <v xml:space="preserve">   Parties de machines, appareils ou matériel à fondre ou à composer les caractères ou pour la préparation ou la fabrication de clichés, planches, cylindres ou autres organes imprimants, n.d.a.</v>
      </c>
      <c r="C7534">
        <v>802870</v>
      </c>
      <c r="D7534">
        <v>43</v>
      </c>
    </row>
    <row r="7535" spans="1:4" x14ac:dyDescent="0.25">
      <c r="A7535" t="str">
        <f>T("   844359")</f>
        <v xml:space="preserve">   844359</v>
      </c>
      <c r="B7535" t="s">
        <v>418</v>
      </c>
      <c r="C7535">
        <v>125748</v>
      </c>
      <c r="D7535">
        <v>80</v>
      </c>
    </row>
    <row r="7536" spans="1:4" x14ac:dyDescent="0.25">
      <c r="A7536" t="str">
        <f>T("   845019")</f>
        <v xml:space="preserve">   845019</v>
      </c>
      <c r="B7536" t="str">
        <f>T("   Machines à laver le linge d'une capacité unitaire exprimée en poids de linge sec &lt;= 6 kg (à l'excl. des machines entièrement automatiques et des machines à laver le linge avec essoreuse centrifuge incorporée)")</f>
        <v xml:space="preserve">   Machines à laver le linge d'une capacité unitaire exprimée en poids de linge sec &lt;= 6 kg (à l'excl. des machines entièrement automatiques et des machines à laver le linge avec essoreuse centrifuge incorporée)</v>
      </c>
      <c r="C7536">
        <v>155789</v>
      </c>
      <c r="D7536">
        <v>37</v>
      </c>
    </row>
    <row r="7537" spans="1:4" x14ac:dyDescent="0.25">
      <c r="A7537" t="str">
        <f>T("   846090")</f>
        <v xml:space="preserve">   846090</v>
      </c>
      <c r="B7537" t="s">
        <v>425</v>
      </c>
      <c r="C7537">
        <v>182663</v>
      </c>
      <c r="D7537">
        <v>5</v>
      </c>
    </row>
    <row r="7538" spans="1:4" x14ac:dyDescent="0.25">
      <c r="A7538" t="str">
        <f>T("   846420")</f>
        <v xml:space="preserve">   846420</v>
      </c>
      <c r="B7538" t="str">
        <f>T("   Machines à meuler ou à polir pour le travail de la pierre, des produits céramiques, du béton, de l'amiante-ciment ou de matières minérales simil., ou pour le travail à froid du verre (à l'excl. des machines pour emploi à la main)")</f>
        <v xml:space="preserve">   Machines à meuler ou à polir pour le travail de la pierre, des produits céramiques, du béton, de l'amiante-ciment ou de matières minérales simil., ou pour le travail à froid du verre (à l'excl. des machines pour emploi à la main)</v>
      </c>
      <c r="C7538">
        <v>9086</v>
      </c>
      <c r="D7538">
        <v>24</v>
      </c>
    </row>
    <row r="7539" spans="1:4" x14ac:dyDescent="0.25">
      <c r="A7539" t="str">
        <f>T("   846694")</f>
        <v xml:space="preserve">   846694</v>
      </c>
      <c r="B7539" t="str">
        <f>T("   Parties et accessoires pour machines-outils pour le travail du métal avec enlèvement de matière, n.d.a.")</f>
        <v xml:space="preserve">   Parties et accessoires pour machines-outils pour le travail du métal avec enlèvement de matière, n.d.a.</v>
      </c>
      <c r="C7539">
        <v>1817009</v>
      </c>
      <c r="D7539">
        <v>170</v>
      </c>
    </row>
    <row r="7540" spans="1:4" x14ac:dyDescent="0.25">
      <c r="A7540" t="str">
        <f>T("   846721")</f>
        <v xml:space="preserve">   846721</v>
      </c>
      <c r="B7540" t="str">
        <f>T("   Perceuses à moteur électrique incorporé, pour emploi à la main, y.c. les perforatrices rotatives")</f>
        <v xml:space="preserve">   Perceuses à moteur électrique incorporé, pour emploi à la main, y.c. les perforatrices rotatives</v>
      </c>
      <c r="C7540">
        <v>312545</v>
      </c>
      <c r="D7540">
        <v>364</v>
      </c>
    </row>
    <row r="7541" spans="1:4" x14ac:dyDescent="0.25">
      <c r="A7541" t="str">
        <f>T("   846729")</f>
        <v xml:space="preserve">   846729</v>
      </c>
      <c r="B7541" t="str">
        <f>T("   Outils électromécaniques à moteur électrique incorporé, pour emploi à la main (autres que scies et perceuses)")</f>
        <v xml:space="preserve">   Outils électromécaniques à moteur électrique incorporé, pour emploi à la main (autres que scies et perceuses)</v>
      </c>
      <c r="C7541">
        <v>619444</v>
      </c>
      <c r="D7541">
        <v>1230</v>
      </c>
    </row>
    <row r="7542" spans="1:4" x14ac:dyDescent="0.25">
      <c r="A7542" t="str">
        <f>T("   847130")</f>
        <v xml:space="preserve">   847130</v>
      </c>
      <c r="B7542" t="str">
        <f>T("   Machines automatiques de traitement de l'information numériques, portatives, d'un poids &lt;= 10 kg, comportant au moins une unité centrale de traitement, un clavier et un écran (à l'excl. des unités périphériques)")</f>
        <v xml:space="preserve">   Machines automatiques de traitement de l'information numériques, portatives, d'un poids &lt;= 10 kg, comportant au moins une unité centrale de traitement, un clavier et un écran (à l'excl. des unités périphériques)</v>
      </c>
      <c r="C7542">
        <v>14779293</v>
      </c>
      <c r="D7542">
        <v>3662</v>
      </c>
    </row>
    <row r="7543" spans="1:4" x14ac:dyDescent="0.25">
      <c r="A7543" t="str">
        <f>T("   847160")</f>
        <v xml:space="preserve">   847160</v>
      </c>
      <c r="B7543" t="str">
        <f>T("   UNITÉS D'ENTRÉE OU DE SORTIE POUR MACHINES AUTOMATIQUES DE TRAITEMENT DE L'INFORMATION, POUVANT COMPORTER, SOUS LA MÊME ENVELOPPE, DES UNITÉS DE MÉMOIRE")</f>
        <v xml:space="preserve">   UNITÉS D'ENTRÉE OU DE SORTIE POUR MACHINES AUTOMATIQUES DE TRAITEMENT DE L'INFORMATION, POUVANT COMPORTER, SOUS LA MÊME ENVELOPPE, DES UNITÉS DE MÉMOIRE</v>
      </c>
      <c r="C7543">
        <v>190091</v>
      </c>
      <c r="D7543">
        <v>3.5</v>
      </c>
    </row>
    <row r="7544" spans="1:4" x14ac:dyDescent="0.25">
      <c r="A7544" t="str">
        <f>T("   847190")</f>
        <v xml:space="preserve">   847190</v>
      </c>
      <c r="B7544"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7544">
        <v>373893</v>
      </c>
      <c r="D7544">
        <v>8</v>
      </c>
    </row>
    <row r="7545" spans="1:4" x14ac:dyDescent="0.25">
      <c r="A7545" t="str">
        <f>T("   847330")</f>
        <v xml:space="preserve">   847330</v>
      </c>
      <c r="B7545" t="str">
        <f>T("   Parties et accessoires pour machines automatiques de traitement de l'information ou pour autres machines du n° 8471, n.d.a.")</f>
        <v xml:space="preserve">   Parties et accessoires pour machines automatiques de traitement de l'information ou pour autres machines du n° 8471, n.d.a.</v>
      </c>
      <c r="C7545">
        <v>37906932</v>
      </c>
      <c r="D7545">
        <v>16</v>
      </c>
    </row>
    <row r="7546" spans="1:4" x14ac:dyDescent="0.25">
      <c r="A7546" t="str">
        <f>T("   847431")</f>
        <v xml:space="preserve">   847431</v>
      </c>
      <c r="B7546" t="str">
        <f>T("   Bétonnières et appareils à gâcher le ciment (sauf montés sur wagons de chemins de fer ou sur châssis de véhicules automobiles)")</f>
        <v xml:space="preserve">   Bétonnières et appareils à gâcher le ciment (sauf montés sur wagons de chemins de fer ou sur châssis de véhicules automobiles)</v>
      </c>
      <c r="C7546">
        <v>128110214</v>
      </c>
      <c r="D7546">
        <v>107858</v>
      </c>
    </row>
    <row r="7547" spans="1:4" x14ac:dyDescent="0.25">
      <c r="A7547" t="str">
        <f>T("   847480")</f>
        <v xml:space="preserve">   847480</v>
      </c>
      <c r="B7547" t="s">
        <v>437</v>
      </c>
      <c r="C7547">
        <v>587612</v>
      </c>
      <c r="D7547">
        <v>1701</v>
      </c>
    </row>
    <row r="7548" spans="1:4" x14ac:dyDescent="0.25">
      <c r="A7548" t="str">
        <f>T("   847490")</f>
        <v xml:space="preserve">   847490</v>
      </c>
      <c r="B7548" t="str">
        <f>T("   Parties des machines et appareils pour le travail des matières minérales du n° 8474, n.d.a.")</f>
        <v xml:space="preserve">   Parties des machines et appareils pour le travail des matières minérales du n° 8474, n.d.a.</v>
      </c>
      <c r="C7548">
        <v>2649004</v>
      </c>
      <c r="D7548">
        <v>2075</v>
      </c>
    </row>
    <row r="7549" spans="1:4" x14ac:dyDescent="0.25">
      <c r="A7549" t="str">
        <f>T("   847730")</f>
        <v xml:space="preserve">   847730</v>
      </c>
      <c r="B7549" t="str">
        <f>T("   Machines à mouler par soufflage pour le travail du caoutchouc ou des matières plastiques ou pour la fabrication de produits en ces matières")</f>
        <v xml:space="preserve">   Machines à mouler par soufflage pour le travail du caoutchouc ou des matières plastiques ou pour la fabrication de produits en ces matières</v>
      </c>
      <c r="C7549">
        <v>19980089</v>
      </c>
      <c r="D7549">
        <v>6714</v>
      </c>
    </row>
    <row r="7550" spans="1:4" x14ac:dyDescent="0.25">
      <c r="A7550" t="str">
        <f>T("   847780")</f>
        <v xml:space="preserve">   847780</v>
      </c>
      <c r="B7550" t="str">
        <f>T("   MACHINES ET APPAREILS POUR LE TRAVAIL DU CAOUTCHOUC OU DES MATIÈRES PLASTIQUES OU POUR LA FABRICATION DE PRODUITS EN CES MATIÈRES N.D.A. DANS LE CHAPITRE 84")</f>
        <v xml:space="preserve">   MACHINES ET APPAREILS POUR LE TRAVAIL DU CAOUTCHOUC OU DES MATIÈRES PLASTIQUES OU POUR LA FABRICATION DE PRODUITS EN CES MATIÈRES N.D.A. DANS LE CHAPITRE 84</v>
      </c>
      <c r="C7550">
        <v>61785564</v>
      </c>
      <c r="D7550">
        <v>16050</v>
      </c>
    </row>
    <row r="7551" spans="1:4" x14ac:dyDescent="0.25">
      <c r="A7551" t="str">
        <f>T("   847989")</f>
        <v xml:space="preserve">   847989</v>
      </c>
      <c r="B7551" t="str">
        <f>T("   Machines et appareils, y.c. les appareils mécaniques, n.d.a.")</f>
        <v xml:space="preserve">   Machines et appareils, y.c. les appareils mécaniques, n.d.a.</v>
      </c>
      <c r="C7551">
        <v>573825</v>
      </c>
      <c r="D7551">
        <v>700</v>
      </c>
    </row>
    <row r="7552" spans="1:4" x14ac:dyDescent="0.25">
      <c r="A7552" t="str">
        <f>T("   848060")</f>
        <v xml:space="preserve">   848060</v>
      </c>
      <c r="B7552" t="str">
        <f>T("   Moules pour les matières minérales (autres qu'en graphite ou autres formes de carbone, autres qu'en produits céramiques ou en verre)")</f>
        <v xml:space="preserve">   Moules pour les matières minérales (autres qu'en graphite ou autres formes de carbone, autres qu'en produits céramiques ou en verre)</v>
      </c>
      <c r="C7552">
        <v>271676</v>
      </c>
      <c r="D7552">
        <v>302</v>
      </c>
    </row>
    <row r="7553" spans="1:4" x14ac:dyDescent="0.25">
      <c r="A7553" t="str">
        <f>T("   848079")</f>
        <v xml:space="preserve">   848079</v>
      </c>
      <c r="B7553" t="s">
        <v>441</v>
      </c>
      <c r="C7553">
        <v>10989051</v>
      </c>
      <c r="D7553">
        <v>3693</v>
      </c>
    </row>
    <row r="7554" spans="1:4" x14ac:dyDescent="0.25">
      <c r="A7554" t="str">
        <f>T("   848180")</f>
        <v xml:space="preserve">   848180</v>
      </c>
      <c r="B7554" t="str">
        <f>T("   Articles de robinetterie et organes simil. pour tuyauteries, etc. (à l'excl. des détendeurs, valves pour transmissions oléohydrauliques ou pneumatiques, clapets et soupapes de retenue et sauf soupapes de trop-plein ou de sûreté)")</f>
        <v xml:space="preserve">   Articles de robinetterie et organes simil. pour tuyauteries, etc. (à l'excl. des détendeurs, valves pour transmissions oléohydrauliques ou pneumatiques, clapets et soupapes de retenue et sauf soupapes de trop-plein ou de sûreté)</v>
      </c>
      <c r="C7554">
        <v>183009</v>
      </c>
      <c r="D7554">
        <v>1172</v>
      </c>
    </row>
    <row r="7555" spans="1:4" x14ac:dyDescent="0.25">
      <c r="A7555" t="str">
        <f>T("   848350")</f>
        <v xml:space="preserve">   848350</v>
      </c>
      <c r="B7555" t="str">
        <f>T("   Volants et poulies, y.c. les poulies à moufles")</f>
        <v xml:space="preserve">   Volants et poulies, y.c. les poulies à moufles</v>
      </c>
      <c r="C7555">
        <v>152216</v>
      </c>
      <c r="D7555">
        <v>29</v>
      </c>
    </row>
    <row r="7556" spans="1:4" x14ac:dyDescent="0.25">
      <c r="A7556" t="str">
        <f>T("   850211")</f>
        <v xml:space="preserve">   850211</v>
      </c>
      <c r="B7556" t="s">
        <v>444</v>
      </c>
      <c r="C7556">
        <v>69735884</v>
      </c>
      <c r="D7556">
        <v>27071</v>
      </c>
    </row>
    <row r="7557" spans="1:4" x14ac:dyDescent="0.25">
      <c r="A7557" t="str">
        <f>T("   850440")</f>
        <v xml:space="preserve">   850440</v>
      </c>
      <c r="B7557" t="str">
        <f>T("   CONVERTISSEURS STATIQUES")</f>
        <v xml:space="preserve">   CONVERTISSEURS STATIQUES</v>
      </c>
      <c r="C7557">
        <v>575485</v>
      </c>
      <c r="D7557">
        <v>500</v>
      </c>
    </row>
    <row r="7558" spans="1:4" x14ac:dyDescent="0.25">
      <c r="A7558" t="str">
        <f>T("   850680")</f>
        <v xml:space="preserve">   850680</v>
      </c>
      <c r="B7558" t="str">
        <f>T("   Piles et batteries de piles électriques (sauf hors d'usage et autres que piles et batteries à l'oxyde d'argent, de mercure, au bioxyde de manganèse, au lithium et à l'air-zinc)")</f>
        <v xml:space="preserve">   Piles et batteries de piles électriques (sauf hors d'usage et autres que piles et batteries à l'oxyde d'argent, de mercure, au bioxyde de manganèse, au lithium et à l'air-zinc)</v>
      </c>
      <c r="C7558">
        <v>260204</v>
      </c>
      <c r="D7558">
        <v>454</v>
      </c>
    </row>
    <row r="7559" spans="1:4" x14ac:dyDescent="0.25">
      <c r="A7559" t="str">
        <f>T("   850940")</f>
        <v xml:space="preserve">   850940</v>
      </c>
      <c r="B7559" t="str">
        <f>T("   Broyeurs et mélangeurs pour aliments; presse-fruits et presse-légumes à moteur électrique incorporé, à usage domestique")</f>
        <v xml:space="preserve">   Broyeurs et mélangeurs pour aliments; presse-fruits et presse-légumes à moteur électrique incorporé, à usage domestique</v>
      </c>
      <c r="C7559">
        <v>1516580</v>
      </c>
      <c r="D7559">
        <v>2081</v>
      </c>
    </row>
    <row r="7560" spans="1:4" x14ac:dyDescent="0.25">
      <c r="A7560" t="str">
        <f>T("   850980")</f>
        <v xml:space="preserve">   850980</v>
      </c>
      <c r="B7560" t="s">
        <v>447</v>
      </c>
      <c r="C7560">
        <v>288741</v>
      </c>
      <c r="D7560">
        <v>399</v>
      </c>
    </row>
    <row r="7561" spans="1:4" x14ac:dyDescent="0.25">
      <c r="A7561" t="str">
        <f>T("   851180")</f>
        <v xml:space="preserve">   851180</v>
      </c>
      <c r="B7561" t="s">
        <v>448</v>
      </c>
      <c r="C7561">
        <v>856832</v>
      </c>
      <c r="D7561">
        <v>817</v>
      </c>
    </row>
    <row r="7562" spans="1:4" x14ac:dyDescent="0.25">
      <c r="A7562" t="str">
        <f>T("   851610")</f>
        <v xml:space="preserve">   851610</v>
      </c>
      <c r="B7562" t="str">
        <f>T("   Chauffe-eau et thermoplongeurs électriques")</f>
        <v xml:space="preserve">   Chauffe-eau et thermoplongeurs électriques</v>
      </c>
      <c r="C7562">
        <v>2481496</v>
      </c>
      <c r="D7562">
        <v>3406</v>
      </c>
    </row>
    <row r="7563" spans="1:4" x14ac:dyDescent="0.25">
      <c r="A7563" t="str">
        <f>T("   851640")</f>
        <v xml:space="preserve">   851640</v>
      </c>
      <c r="B7563" t="str">
        <f>T("   Fers à repasser électriques")</f>
        <v xml:space="preserve">   Fers à repasser électriques</v>
      </c>
      <c r="C7563">
        <v>122009</v>
      </c>
      <c r="D7563">
        <v>168</v>
      </c>
    </row>
    <row r="7564" spans="1:4" x14ac:dyDescent="0.25">
      <c r="A7564" t="str">
        <f>T("   851650")</f>
        <v xml:space="preserve">   851650</v>
      </c>
      <c r="B7564" t="str">
        <f>T("   Fours à micro-ondes")</f>
        <v xml:space="preserve">   Fours à micro-ondes</v>
      </c>
      <c r="C7564">
        <v>1187511</v>
      </c>
      <c r="D7564">
        <v>1629</v>
      </c>
    </row>
    <row r="7565" spans="1:4" x14ac:dyDescent="0.25">
      <c r="A7565" t="str">
        <f>T("   851660")</f>
        <v xml:space="preserve">   851660</v>
      </c>
      <c r="B7565" t="str">
        <f>T("   Fours, cuisinières, réchauds, tables de cuisson, grils et rôtissoires électriques, pour usages domestiques (sauf fours destinés au chauffage des locaux et fours à micro-ondes)")</f>
        <v xml:space="preserve">   Fours, cuisinières, réchauds, tables de cuisson, grils et rôtissoires électriques, pour usages domestiques (sauf fours destinés au chauffage des locaux et fours à micro-ondes)</v>
      </c>
      <c r="C7565">
        <v>15432771</v>
      </c>
      <c r="D7565">
        <v>15281</v>
      </c>
    </row>
    <row r="7566" spans="1:4" x14ac:dyDescent="0.25">
      <c r="A7566" t="str">
        <f>T("   851671")</f>
        <v xml:space="preserve">   851671</v>
      </c>
      <c r="B7566" t="str">
        <f>T("   Appareils électriques pour la préparation du café ou du thé, pour usages domestiques")</f>
        <v xml:space="preserve">   Appareils électriques pour la préparation du café ou du thé, pour usages domestiques</v>
      </c>
      <c r="C7566">
        <v>498045</v>
      </c>
      <c r="D7566">
        <v>768</v>
      </c>
    </row>
    <row r="7567" spans="1:4" x14ac:dyDescent="0.25">
      <c r="A7567" t="str">
        <f>T("   851679")</f>
        <v xml:space="preserve">   851679</v>
      </c>
      <c r="B7567" t="s">
        <v>451</v>
      </c>
      <c r="C7567">
        <v>789120</v>
      </c>
      <c r="D7567">
        <v>819</v>
      </c>
    </row>
    <row r="7568" spans="1:4" x14ac:dyDescent="0.25">
      <c r="A7568" t="str">
        <f>T("   851690")</f>
        <v xml:space="preserve">   851690</v>
      </c>
      <c r="B7568" t="str">
        <f>T("   Parties des chauffe-eau, appareils de chauffage des locaux, appareils électriques pour la coiffure ou pour sécher les mains, appareils électrothermiques pour usages domestiques et résistances chauffantes, n.d.a.")</f>
        <v xml:space="preserve">   Parties des chauffe-eau, appareils de chauffage des locaux, appareils électriques pour la coiffure ou pour sécher les mains, appareils électrothermiques pour usages domestiques et résistances chauffantes, n.d.a.</v>
      </c>
      <c r="C7568">
        <v>152839</v>
      </c>
      <c r="D7568">
        <v>210</v>
      </c>
    </row>
    <row r="7569" spans="1:4" x14ac:dyDescent="0.25">
      <c r="A7569" t="str">
        <f>T("   851780")</f>
        <v xml:space="preserve">   851780</v>
      </c>
      <c r="B7569" t="s">
        <v>453</v>
      </c>
      <c r="C7569">
        <v>143871</v>
      </c>
      <c r="D7569">
        <v>100</v>
      </c>
    </row>
    <row r="7570" spans="1:4" x14ac:dyDescent="0.25">
      <c r="A7570" t="str">
        <f>T("   851790")</f>
        <v xml:space="preserve">   851790</v>
      </c>
      <c r="B7570" t="s">
        <v>454</v>
      </c>
      <c r="C7570">
        <v>2661255</v>
      </c>
      <c r="D7570">
        <v>12</v>
      </c>
    </row>
    <row r="7571" spans="1:4" x14ac:dyDescent="0.25">
      <c r="A7571" t="str">
        <f>T("   852812")</f>
        <v xml:space="preserve">   852812</v>
      </c>
      <c r="B7571"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7571">
        <v>1160605</v>
      </c>
      <c r="D7571">
        <v>770</v>
      </c>
    </row>
    <row r="7572" spans="1:4" x14ac:dyDescent="0.25">
      <c r="A7572" t="str">
        <f>T("   853180")</f>
        <v xml:space="preserve">   853180</v>
      </c>
      <c r="B7572" t="s">
        <v>467</v>
      </c>
      <c r="C7572">
        <v>14860</v>
      </c>
      <c r="D7572">
        <v>125</v>
      </c>
    </row>
    <row r="7573" spans="1:4" x14ac:dyDescent="0.25">
      <c r="A7573" t="str">
        <f>T("   853230")</f>
        <v xml:space="preserve">   853230</v>
      </c>
      <c r="B7573" t="str">
        <f>T("   Condensateurs électriques variables ou ajustables")</f>
        <v xml:space="preserve">   Condensateurs électriques variables ou ajustables</v>
      </c>
      <c r="C7573">
        <v>3183</v>
      </c>
      <c r="D7573">
        <v>1</v>
      </c>
    </row>
    <row r="7574" spans="1:4" x14ac:dyDescent="0.25">
      <c r="A7574" t="str">
        <f>T("   854389")</f>
        <v xml:space="preserve">   854389</v>
      </c>
      <c r="B7574" t="str">
        <f>T("   MACHINES ET APPAREILS ÉLECTRIQUES AYANT UNE FONCTION PROPRE, N.D.A. DANS LE CHAPITRE 85")</f>
        <v xml:space="preserve">   MACHINES ET APPAREILS ÉLECTRIQUES AYANT UNE FONCTION PROPRE, N.D.A. DANS LE CHAPITRE 85</v>
      </c>
      <c r="C7574">
        <v>515982</v>
      </c>
      <c r="D7574">
        <v>103</v>
      </c>
    </row>
    <row r="7575" spans="1:4" x14ac:dyDescent="0.25">
      <c r="A7575" t="str">
        <f>T("   870829")</f>
        <v xml:space="preserve">   870829</v>
      </c>
      <c r="B7575" t="s">
        <v>488</v>
      </c>
      <c r="C7575">
        <v>4261116</v>
      </c>
      <c r="D7575">
        <v>1558</v>
      </c>
    </row>
    <row r="7576" spans="1:4" x14ac:dyDescent="0.25">
      <c r="A7576" t="str">
        <f>T("   871200")</f>
        <v xml:space="preserve">   871200</v>
      </c>
      <c r="B7576" t="str">
        <f>T("   BICYCLETTES ET AUTRES CYCLES, -Y.C. LES TRIPORTEURS-, SANS MOTEUR")</f>
        <v xml:space="preserve">   BICYCLETTES ET AUTRES CYCLES, -Y.C. LES TRIPORTEURS-, SANS MOTEUR</v>
      </c>
      <c r="C7576">
        <v>1155424</v>
      </c>
      <c r="D7576">
        <v>286</v>
      </c>
    </row>
    <row r="7577" spans="1:4" x14ac:dyDescent="0.25">
      <c r="A7577" t="str">
        <f>T("   900999")</f>
        <v xml:space="preserve">   900999</v>
      </c>
      <c r="B7577" t="str">
        <f>T("   Parties et accessoires d'appareils de photocopie et de thermocopie, n.d.a. (à l'excl. des dispositifs automatiques d'alimentation en documents, des dispositifs d'alimentation en papier et des dispositifs de tri)")</f>
        <v xml:space="preserve">   Parties et accessoires d'appareils de photocopie et de thermocopie, n.d.a. (à l'excl. des dispositifs automatiques d'alimentation en documents, des dispositifs d'alimentation en papier et des dispositifs de tri)</v>
      </c>
      <c r="C7577">
        <v>1313606</v>
      </c>
      <c r="D7577">
        <v>599</v>
      </c>
    </row>
    <row r="7578" spans="1:4" x14ac:dyDescent="0.25">
      <c r="A7578" t="str">
        <f>T("   901890")</f>
        <v xml:space="preserve">   901890</v>
      </c>
      <c r="B7578" t="str">
        <f>T("   Instruments et appareils pour la médecine, la chirurgie ou l'art vétérinaire, n.d.a.")</f>
        <v xml:space="preserve">   Instruments et appareils pour la médecine, la chirurgie ou l'art vétérinaire, n.d.a.</v>
      </c>
      <c r="C7578">
        <v>3182885</v>
      </c>
      <c r="D7578">
        <v>349</v>
      </c>
    </row>
    <row r="7579" spans="1:4" x14ac:dyDescent="0.25">
      <c r="A7579" t="str">
        <f>T("   902830")</f>
        <v xml:space="preserve">   902830</v>
      </c>
      <c r="B7579" t="str">
        <f>T("   Compteurs d'électricité, y.c. les compteurs pour leur étalonnage")</f>
        <v xml:space="preserve">   Compteurs d'électricité, y.c. les compteurs pour leur étalonnage</v>
      </c>
      <c r="C7579">
        <v>8005</v>
      </c>
      <c r="D7579">
        <v>20</v>
      </c>
    </row>
    <row r="7580" spans="1:4" x14ac:dyDescent="0.25">
      <c r="A7580" t="str">
        <f>T("   902990")</f>
        <v xml:space="preserve">   902990</v>
      </c>
      <c r="B7580" t="str">
        <f>T("   Parties et accessoires de compteurs de tours, compteurs de production, taximètres, totalisateurs de chemin parcouru, podomètres et compteurs simil., d'indicateurs de vitesse et de tachymètres ainsi que de stroboscopes, n.d.a.")</f>
        <v xml:space="preserve">   Parties et accessoires de compteurs de tours, compteurs de production, taximètres, totalisateurs de chemin parcouru, podomètres et compteurs simil., d'indicateurs de vitesse et de tachymètres ainsi que de stroboscopes, n.d.a.</v>
      </c>
      <c r="C7580">
        <v>225774</v>
      </c>
      <c r="D7580">
        <v>6</v>
      </c>
    </row>
    <row r="7581" spans="1:4" x14ac:dyDescent="0.25">
      <c r="A7581" t="str">
        <f>T("   940350")</f>
        <v xml:space="preserve">   940350</v>
      </c>
      <c r="B7581" t="str">
        <f>T("   Meubles pour chambres à coucher, en bois (sauf sièges)")</f>
        <v xml:space="preserve">   Meubles pour chambres à coucher, en bois (sauf sièges)</v>
      </c>
      <c r="C7581">
        <v>70944</v>
      </c>
      <c r="D7581">
        <v>595</v>
      </c>
    </row>
    <row r="7582" spans="1:4" x14ac:dyDescent="0.25">
      <c r="A7582" t="str">
        <f>T("   940360")</f>
        <v xml:space="preserve">   940360</v>
      </c>
      <c r="B7582" t="str">
        <f>T("   Meubles en bois (autres que pour bureaux, cuisines ou chambres à coucher et autres que sièges)")</f>
        <v xml:space="preserve">   Meubles en bois (autres que pour bureaux, cuisines ou chambres à coucher et autres que sièges)</v>
      </c>
      <c r="C7582">
        <v>2001941</v>
      </c>
      <c r="D7582">
        <v>2751</v>
      </c>
    </row>
    <row r="7583" spans="1:4" x14ac:dyDescent="0.25">
      <c r="A7583" t="str">
        <f>T("   940380")</f>
        <v xml:space="preserve">   940380</v>
      </c>
      <c r="B7583" t="str">
        <f>T("   Meubles en rotin, osier, bambou ou autres matières (sauf métal, bois et matières plastiques)")</f>
        <v xml:space="preserve">   Meubles en rotin, osier, bambou ou autres matières (sauf métal, bois et matières plastiques)</v>
      </c>
      <c r="C7583">
        <v>2615333</v>
      </c>
      <c r="D7583">
        <v>4339</v>
      </c>
    </row>
    <row r="7584" spans="1:4" x14ac:dyDescent="0.25">
      <c r="A7584" t="str">
        <f>T("   940390")</f>
        <v xml:space="preserve">   940390</v>
      </c>
      <c r="B7584" t="str">
        <f>T("   PARTIES DE MEUBLES, N.D.A. (AUTRES QUE DE SIÈGES ET MOBILIER POUR LA MÉDECINE, L'ART DENTAIRE ET VÉTÉRINAIRE OU LA CHIRURGIE)")</f>
        <v xml:space="preserve">   PARTIES DE MEUBLES, N.D.A. (AUTRES QUE DE SIÈGES ET MOBILIER POUR LA MÉDECINE, L'ART DENTAIRE ET VÉTÉRINAIRE OU LA CHIRURGIE)</v>
      </c>
      <c r="C7584">
        <v>156268</v>
      </c>
      <c r="D7584">
        <v>325</v>
      </c>
    </row>
    <row r="7585" spans="1:4" x14ac:dyDescent="0.25">
      <c r="A7585" t="str">
        <f>T("   940490")</f>
        <v xml:space="preserve">   940490</v>
      </c>
      <c r="B7585" t="s">
        <v>508</v>
      </c>
      <c r="C7585">
        <v>2231658</v>
      </c>
      <c r="D7585">
        <v>3112</v>
      </c>
    </row>
    <row r="7586" spans="1:4" x14ac:dyDescent="0.25">
      <c r="A7586" t="str">
        <f>T("   940510")</f>
        <v xml:space="preserve">   940510</v>
      </c>
      <c r="B7586" t="str">
        <f>T("   Lustres et autres appareils d'éclairage électrique à suspendre ou à fixer au plafond ou au mur (sauf pour l'éclairage des espaces et voies publiques)")</f>
        <v xml:space="preserve">   Lustres et autres appareils d'éclairage électrique à suspendre ou à fixer au plafond ou au mur (sauf pour l'éclairage des espaces et voies publiques)</v>
      </c>
      <c r="C7586">
        <v>147640</v>
      </c>
      <c r="D7586">
        <v>1274</v>
      </c>
    </row>
    <row r="7587" spans="1:4" x14ac:dyDescent="0.25">
      <c r="A7587" t="str">
        <f>T("   940520")</f>
        <v xml:space="preserve">   940520</v>
      </c>
      <c r="B7587" t="str">
        <f>T("   Lampes de chevet, lampes de bureau et lampadaires d'intérieur, électriques")</f>
        <v xml:space="preserve">   Lampes de chevet, lampes de bureau et lampadaires d'intérieur, électriques</v>
      </c>
      <c r="C7587">
        <v>1348125</v>
      </c>
      <c r="D7587">
        <v>1625</v>
      </c>
    </row>
    <row r="7588" spans="1:4" x14ac:dyDescent="0.25">
      <c r="A7588" t="str">
        <f>T("   940540")</f>
        <v xml:space="preserve">   940540</v>
      </c>
      <c r="B7588" t="str">
        <f>T("   Appareils d'éclairage électrique, n.d.a.")</f>
        <v xml:space="preserve">   Appareils d'éclairage électrique, n.d.a.</v>
      </c>
      <c r="C7588">
        <v>154528</v>
      </c>
      <c r="D7588">
        <v>50</v>
      </c>
    </row>
    <row r="7589" spans="1:4" x14ac:dyDescent="0.25">
      <c r="A7589" t="str">
        <f>T("   940560")</f>
        <v xml:space="preserve">   940560</v>
      </c>
      <c r="B7589" t="str">
        <f>T("   Lampes-réclames, enseignes lumineuses, plaques indicatrices lumineuses et articles simil., possédant une source d'éclairage fixée à demeure")</f>
        <v xml:space="preserve">   Lampes-réclames, enseignes lumineuses, plaques indicatrices lumineuses et articles simil., possédant une source d'éclairage fixée à demeure</v>
      </c>
      <c r="C7589">
        <v>655271</v>
      </c>
      <c r="D7589">
        <v>735</v>
      </c>
    </row>
    <row r="7590" spans="1:4" x14ac:dyDescent="0.25">
      <c r="A7590" t="str">
        <f>T("   950100")</f>
        <v xml:space="preserve">   950100</v>
      </c>
      <c r="B7590" t="str">
        <f>T("   JOUETS À ROUES CONÇUS POUR ÊTRE MONTÉS PAR LES ENFANTS, P.EX. TRICYCLES, TROTTINETTES, AUTOS À PÉDALES (À L'EXCL. DES CYCLES HABITUELS AVEC ROULEMENT À BILLES); LANDAUS ET POUSSETTES POUR POUPÉES")</f>
        <v xml:space="preserve">   JOUETS À ROUES CONÇUS POUR ÊTRE MONTÉS PAR LES ENFANTS, P.EX. TRICYCLES, TROTTINETTES, AUTOS À PÉDALES (À L'EXCL. DES CYCLES HABITUELS AVEC ROULEMENT À BILLES); LANDAUS ET POUSSETTES POUR POUPÉES</v>
      </c>
      <c r="C7590">
        <v>1500000</v>
      </c>
      <c r="D7590">
        <v>1500</v>
      </c>
    </row>
    <row r="7591" spans="1:4" x14ac:dyDescent="0.25">
      <c r="A7591" t="str">
        <f>T("   950390")</f>
        <v xml:space="preserve">   950390</v>
      </c>
      <c r="B7591" t="str">
        <f>T("   Jouets, n.d.a.")</f>
        <v xml:space="preserve">   Jouets, n.d.a.</v>
      </c>
      <c r="C7591">
        <v>4779260</v>
      </c>
      <c r="D7591">
        <v>1185</v>
      </c>
    </row>
    <row r="7592" spans="1:4" x14ac:dyDescent="0.25">
      <c r="A7592" t="str">
        <f>T("   960310")</f>
        <v xml:space="preserve">   960310</v>
      </c>
      <c r="B7592" t="str">
        <f>T("   Balais et balayettes consistant en matières végétales en bottes liées")</f>
        <v xml:space="preserve">   Balais et balayettes consistant en matières végétales en bottes liées</v>
      </c>
      <c r="C7592">
        <v>94886</v>
      </c>
      <c r="D7592">
        <v>1000</v>
      </c>
    </row>
    <row r="7593" spans="1:4" x14ac:dyDescent="0.25">
      <c r="A7593" t="str">
        <f>T("   960340")</f>
        <v xml:space="preserve">   960340</v>
      </c>
      <c r="B7593" t="str">
        <f>T("   Brosses et pinceaux à peindre, à badigeonner, à vernir ou simil., sauf pinceaux pour artistes et pinceaux simil. du n° 9603.30; tampons et rouleaux à peindre")</f>
        <v xml:space="preserve">   Brosses et pinceaux à peindre, à badigeonner, à vernir ou simil., sauf pinceaux pour artistes et pinceaux simil. du n° 9603.30; tampons et rouleaux à peindre</v>
      </c>
      <c r="C7593">
        <v>257797</v>
      </c>
      <c r="D7593">
        <v>548</v>
      </c>
    </row>
    <row r="7594" spans="1:4" x14ac:dyDescent="0.25">
      <c r="A7594" t="str">
        <f>T("   960390")</f>
        <v xml:space="preserve">   960390</v>
      </c>
      <c r="B7594" t="str">
        <f>T("   ARTICLES DE BROSSERIE (SAUF DU N° 9603.10 À 9603.50), P.EX. TÊTES PRÉPARÉES POUR ARTICLES DE BROSSERIE ET RACLETTES EN CAOUTCHOUC OU EN MATIÈRES SOUPLES ANALOGUES")</f>
        <v xml:space="preserve">   ARTICLES DE BROSSERIE (SAUF DU N° 9603.10 À 9603.50), P.EX. TÊTES PRÉPARÉES POUR ARTICLES DE BROSSERIE ET RACLETTES EN CAOUTCHOUC OU EN MATIÈRES SOUPLES ANALOGUES</v>
      </c>
      <c r="C7594">
        <v>237134</v>
      </c>
      <c r="D7594">
        <v>1675</v>
      </c>
    </row>
    <row r="7595" spans="1:4" x14ac:dyDescent="0.25">
      <c r="A7595" t="str">
        <f>T("   960810")</f>
        <v xml:space="preserve">   960810</v>
      </c>
      <c r="B7595" t="str">
        <f>T("   Stylos et crayons à bille")</f>
        <v xml:space="preserve">   Stylos et crayons à bille</v>
      </c>
      <c r="C7595">
        <v>45262</v>
      </c>
      <c r="D7595">
        <v>62</v>
      </c>
    </row>
    <row r="7596" spans="1:4" x14ac:dyDescent="0.25">
      <c r="A7596" t="str">
        <f>T("   961210")</f>
        <v xml:space="preserve">   961210</v>
      </c>
      <c r="B7596" t="str">
        <f>T("   Rubans encreurs pour machines à écrire et rubans encreurs simil., encrés ou autrement préparés en vue de laisser des empreintes, même montés sur bobines ou en cartouches")</f>
        <v xml:space="preserve">   Rubans encreurs pour machines à écrire et rubans encreurs simil., encrés ou autrement préparés en vue de laisser des empreintes, même montés sur bobines ou en cartouches</v>
      </c>
      <c r="C7596">
        <v>10545</v>
      </c>
      <c r="D7596">
        <v>768</v>
      </c>
    </row>
    <row r="7597" spans="1:4" x14ac:dyDescent="0.25">
      <c r="A7597" t="str">
        <f>T("   961420")</f>
        <v xml:space="preserve">   961420</v>
      </c>
      <c r="B7597" t="str">
        <f>T("   Pipes et têtes de pipes")</f>
        <v xml:space="preserve">   Pipes et têtes de pipes</v>
      </c>
      <c r="C7597">
        <v>152913</v>
      </c>
      <c r="D7597">
        <v>917</v>
      </c>
    </row>
    <row r="7598" spans="1:4" x14ac:dyDescent="0.25">
      <c r="A7598" t="str">
        <f>T("   961490")</f>
        <v xml:space="preserve">   961490</v>
      </c>
      <c r="B7598" t="str">
        <f>T("   Parties de pipes n.d.a.; fume-cigare et fume-cigarette et leurs parties, n.d.a.")</f>
        <v xml:space="preserve">   Parties de pipes n.d.a.; fume-cigare et fume-cigarette et leurs parties, n.d.a.</v>
      </c>
      <c r="C7598">
        <v>284129</v>
      </c>
      <c r="D7598">
        <v>252</v>
      </c>
    </row>
    <row r="7599" spans="1:4" x14ac:dyDescent="0.25">
      <c r="A7599" t="str">
        <f>T("LC")</f>
        <v>LC</v>
      </c>
      <c r="B7599" t="str">
        <f>T("Sainte-Lucie")</f>
        <v>Sainte-Lucie</v>
      </c>
    </row>
    <row r="7600" spans="1:4" x14ac:dyDescent="0.25">
      <c r="A7600" t="str">
        <f>T("   ZZ_Total_Produit_SH6")</f>
        <v xml:space="preserve">   ZZ_Total_Produit_SH6</v>
      </c>
      <c r="B7600" t="str">
        <f>T("   ZZ_Total_Produit_SH6")</f>
        <v xml:space="preserve">   ZZ_Total_Produit_SH6</v>
      </c>
      <c r="C7600">
        <v>269993</v>
      </c>
      <c r="D7600">
        <v>128</v>
      </c>
    </row>
    <row r="7601" spans="1:4" x14ac:dyDescent="0.25">
      <c r="A7601" t="str">
        <f>T("   321000")</f>
        <v xml:space="preserve">   321000</v>
      </c>
      <c r="B7601" t="str">
        <f>T("   Peintures et vernis (à l'excl. des produits à base de polymères synthétiques ou de polymères naturels modifiés); pigments à l'eau préparés des types utilisés pour le finissage des cuirs")</f>
        <v xml:space="preserve">   Peintures et vernis (à l'excl. des produits à base de polymères synthétiques ou de polymères naturels modifiés); pigments à l'eau préparés des types utilisés pour le finissage des cuirs</v>
      </c>
      <c r="C7601">
        <v>269993</v>
      </c>
      <c r="D7601">
        <v>128</v>
      </c>
    </row>
    <row r="7602" spans="1:4" x14ac:dyDescent="0.25">
      <c r="A7602" t="str">
        <f>T("LI")</f>
        <v>LI</v>
      </c>
      <c r="B7602" t="str">
        <f>T("Liechtenstein")</f>
        <v>Liechtenstein</v>
      </c>
    </row>
    <row r="7603" spans="1:4" x14ac:dyDescent="0.25">
      <c r="A7603" t="str">
        <f>T("   ZZ_Total_Produit_SH6")</f>
        <v xml:space="preserve">   ZZ_Total_Produit_SH6</v>
      </c>
      <c r="B7603" t="str">
        <f>T("   ZZ_Total_Produit_SH6")</f>
        <v xml:space="preserve">   ZZ_Total_Produit_SH6</v>
      </c>
      <c r="C7603">
        <v>812612</v>
      </c>
      <c r="D7603">
        <v>197</v>
      </c>
    </row>
    <row r="7604" spans="1:4" x14ac:dyDescent="0.25">
      <c r="A7604" t="str">
        <f>T("   851790")</f>
        <v xml:space="preserve">   851790</v>
      </c>
      <c r="B7604" t="s">
        <v>454</v>
      </c>
      <c r="C7604">
        <v>812612</v>
      </c>
      <c r="D7604">
        <v>197</v>
      </c>
    </row>
    <row r="7605" spans="1:4" x14ac:dyDescent="0.25">
      <c r="A7605" t="str">
        <f>T("LK")</f>
        <v>LK</v>
      </c>
      <c r="B7605" t="str">
        <f>T("Sri Lanka")</f>
        <v>Sri Lanka</v>
      </c>
    </row>
    <row r="7606" spans="1:4" x14ac:dyDescent="0.25">
      <c r="A7606" t="str">
        <f>T("   ZZ_Total_Produit_SH6")</f>
        <v xml:space="preserve">   ZZ_Total_Produit_SH6</v>
      </c>
      <c r="B7606" t="str">
        <f>T("   ZZ_Total_Produit_SH6")</f>
        <v xml:space="preserve">   ZZ_Total_Produit_SH6</v>
      </c>
      <c r="C7606">
        <v>1591589</v>
      </c>
      <c r="D7606">
        <v>110</v>
      </c>
    </row>
    <row r="7607" spans="1:4" x14ac:dyDescent="0.25">
      <c r="A7607" t="str">
        <f>T("   843780")</f>
        <v xml:space="preserve">   843780</v>
      </c>
      <c r="B7607" t="s">
        <v>412</v>
      </c>
      <c r="C7607">
        <v>1591589</v>
      </c>
      <c r="D7607">
        <v>110</v>
      </c>
    </row>
    <row r="7608" spans="1:4" x14ac:dyDescent="0.25">
      <c r="A7608" t="str">
        <f>T("LR")</f>
        <v>LR</v>
      </c>
      <c r="B7608" t="str">
        <f>T("Libéria")</f>
        <v>Libéria</v>
      </c>
    </row>
    <row r="7609" spans="1:4" x14ac:dyDescent="0.25">
      <c r="A7609" t="str">
        <f>T("   ZZ_Total_Produit_SH6")</f>
        <v xml:space="preserve">   ZZ_Total_Produit_SH6</v>
      </c>
      <c r="B7609" t="str">
        <f>T("   ZZ_Total_Produit_SH6")</f>
        <v xml:space="preserve">   ZZ_Total_Produit_SH6</v>
      </c>
      <c r="C7609">
        <v>480162</v>
      </c>
      <c r="D7609">
        <v>8</v>
      </c>
    </row>
    <row r="7610" spans="1:4" x14ac:dyDescent="0.25">
      <c r="A7610" t="str">
        <f>T("   847190")</f>
        <v xml:space="preserve">   847190</v>
      </c>
      <c r="B7610"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7610">
        <v>243360</v>
      </c>
      <c r="D7610">
        <v>4</v>
      </c>
    </row>
    <row r="7611" spans="1:4" x14ac:dyDescent="0.25">
      <c r="A7611" t="str">
        <f>T("   870899")</f>
        <v xml:space="preserve">   870899</v>
      </c>
      <c r="B7611"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7611">
        <v>236802</v>
      </c>
      <c r="D7611">
        <v>4</v>
      </c>
    </row>
    <row r="7612" spans="1:4" x14ac:dyDescent="0.25">
      <c r="A7612" t="str">
        <f>T("LT")</f>
        <v>LT</v>
      </c>
      <c r="B7612" t="str">
        <f>T("Lituanie")</f>
        <v>Lituanie</v>
      </c>
    </row>
    <row r="7613" spans="1:4" x14ac:dyDescent="0.25">
      <c r="A7613" t="str">
        <f>T("   ZZ_Total_Produit_SH6")</f>
        <v xml:space="preserve">   ZZ_Total_Produit_SH6</v>
      </c>
      <c r="B7613" t="str">
        <f>T("   ZZ_Total_Produit_SH6")</f>
        <v xml:space="preserve">   ZZ_Total_Produit_SH6</v>
      </c>
      <c r="C7613">
        <v>2990640541</v>
      </c>
      <c r="D7613">
        <v>6997165</v>
      </c>
    </row>
    <row r="7614" spans="1:4" x14ac:dyDescent="0.25">
      <c r="A7614" t="str">
        <f>T("   190531")</f>
        <v xml:space="preserve">   190531</v>
      </c>
      <c r="B7614" t="str">
        <f>T("   Biscuits additionnés d'édulcorants")</f>
        <v xml:space="preserve">   Biscuits additionnés d'édulcorants</v>
      </c>
      <c r="C7614">
        <v>8527</v>
      </c>
      <c r="D7614">
        <v>15</v>
      </c>
    </row>
    <row r="7615" spans="1:4" x14ac:dyDescent="0.25">
      <c r="A7615" t="str">
        <f>T("   271011")</f>
        <v xml:space="preserve">   271011</v>
      </c>
      <c r="B7615" t="str">
        <f>T("   HUILES LÉGÈRES ET PRÉPARATIONS DE PÉTROLE OU DE MINÉRAUX BITUMINEUX DISTILLANT EN VOLUME, Y.C. LES PERTES, &gt;= 90% À 210°C, D'APRÈS LA MÉTHODE ASTM D 86")</f>
        <v xml:space="preserve">   HUILES LÉGÈRES ET PRÉPARATIONS DE PÉTROLE OU DE MINÉRAUX BITUMINEUX DISTILLANT EN VOLUME, Y.C. LES PERTES, &gt;= 90% À 210°C, D'APRÈS LA MÉTHODE ASTM D 86</v>
      </c>
      <c r="C7615">
        <v>2394519947</v>
      </c>
      <c r="D7615">
        <v>5973207</v>
      </c>
    </row>
    <row r="7616" spans="1:4" x14ac:dyDescent="0.25">
      <c r="A7616" t="str">
        <f>T("   420229")</f>
        <v xml:space="preserve">   420229</v>
      </c>
      <c r="B7616" t="str">
        <f>T("   Sacs à main, même à bandoulière, y.c. ceux sans poignée, à surface extérieure en fibre vulcanisée ou en carton, ou recouverts, en totalité ou en majeure partie, de ces mêmes matières ou de papier")</f>
        <v xml:space="preserve">   Sacs à main, même à bandoulière, y.c. ceux sans poignée, à surface extérieure en fibre vulcanisée ou en carton, ou recouverts, en totalité ou en majeure partie, de ces mêmes matières ou de papier</v>
      </c>
      <c r="C7616">
        <v>7640000</v>
      </c>
      <c r="D7616">
        <v>14000</v>
      </c>
    </row>
    <row r="7617" spans="1:4" x14ac:dyDescent="0.25">
      <c r="A7617" t="str">
        <f>T("   630900")</f>
        <v xml:space="preserve">   630900</v>
      </c>
      <c r="B7617" t="s">
        <v>280</v>
      </c>
      <c r="C7617">
        <v>586249222</v>
      </c>
      <c r="D7617">
        <v>1008518</v>
      </c>
    </row>
    <row r="7618" spans="1:4" x14ac:dyDescent="0.25">
      <c r="A7618" t="str">
        <f>T("   731029")</f>
        <v xml:space="preserve">   731029</v>
      </c>
      <c r="B7618" t="str">
        <f>T("   Réservoirs, fûts, tambours, bidons et récipients simil., en fer ou en acier, pour toutes matières, contenance &lt; 50 l, n.d.a. (sauf pour gaz comprimés ou liquéfiés, sans dispositifs mécaniques ou thermiques et à l'excl. des boîtes)")</f>
        <v xml:space="preserve">   Réservoirs, fûts, tambours, bidons et récipients simil., en fer ou en acier, pour toutes matières, contenance &lt; 50 l, n.d.a. (sauf pour gaz comprimés ou liquéfiés, sans dispositifs mécaniques ou thermiques et à l'excl. des boîtes)</v>
      </c>
      <c r="C7618">
        <v>576289</v>
      </c>
      <c r="D7618">
        <v>26</v>
      </c>
    </row>
    <row r="7619" spans="1:4" x14ac:dyDescent="0.25">
      <c r="A7619" t="str">
        <f>T("   848180")</f>
        <v xml:space="preserve">   848180</v>
      </c>
      <c r="B7619" t="str">
        <f>T("   Articles de robinetterie et organes simil. pour tuyauteries, etc. (à l'excl. des détendeurs, valves pour transmissions oléohydrauliques ou pneumatiques, clapets et soupapes de retenue et sauf soupapes de trop-plein ou de sûreté)")</f>
        <v xml:space="preserve">   Articles de robinetterie et organes simil. pour tuyauteries, etc. (à l'excl. des détendeurs, valves pour transmissions oléohydrauliques ou pneumatiques, clapets et soupapes de retenue et sauf soupapes de trop-plein ou de sûreté)</v>
      </c>
      <c r="C7619">
        <v>94305</v>
      </c>
      <c r="D7619">
        <v>4</v>
      </c>
    </row>
    <row r="7620" spans="1:4" x14ac:dyDescent="0.25">
      <c r="A7620" t="str">
        <f>T("   870322")</f>
        <v xml:space="preserve">   870322</v>
      </c>
      <c r="B7620" t="s">
        <v>475</v>
      </c>
      <c r="C7620">
        <v>1200000</v>
      </c>
      <c r="D7620">
        <v>850</v>
      </c>
    </row>
    <row r="7621" spans="1:4" x14ac:dyDescent="0.25">
      <c r="A7621" t="str">
        <f>T("   950390")</f>
        <v xml:space="preserve">   950390</v>
      </c>
      <c r="B7621" t="str">
        <f>T("   Jouets, n.d.a.")</f>
        <v xml:space="preserve">   Jouets, n.d.a.</v>
      </c>
      <c r="C7621">
        <v>352251</v>
      </c>
      <c r="D7621">
        <v>545</v>
      </c>
    </row>
    <row r="7622" spans="1:4" x14ac:dyDescent="0.25">
      <c r="A7622" t="str">
        <f>T("LU")</f>
        <v>LU</v>
      </c>
      <c r="B7622" t="str">
        <f>T("Luxembourg")</f>
        <v>Luxembourg</v>
      </c>
    </row>
    <row r="7623" spans="1:4" x14ac:dyDescent="0.25">
      <c r="A7623" t="str">
        <f>T("   ZZ_Total_Produit_SH6")</f>
        <v xml:space="preserve">   ZZ_Total_Produit_SH6</v>
      </c>
      <c r="B7623" t="str">
        <f>T("   ZZ_Total_Produit_SH6")</f>
        <v xml:space="preserve">   ZZ_Total_Produit_SH6</v>
      </c>
      <c r="C7623">
        <v>3590442278</v>
      </c>
      <c r="D7623">
        <v>9397051</v>
      </c>
    </row>
    <row r="7624" spans="1:4" x14ac:dyDescent="0.25">
      <c r="A7624" t="str">
        <f>T("   300490")</f>
        <v xml:space="preserve">   300490</v>
      </c>
      <c r="B7624" t="s">
        <v>78</v>
      </c>
      <c r="C7624">
        <v>480819</v>
      </c>
      <c r="D7624">
        <v>122</v>
      </c>
    </row>
    <row r="7625" spans="1:4" x14ac:dyDescent="0.25">
      <c r="A7625" t="str">
        <f>T("   721391")</f>
        <v xml:space="preserve">   721391</v>
      </c>
      <c r="B7625" t="str">
        <f>T("   FIL MACHINE EN FER OU ACIERS NON-ALLIÉS, ENROULÉ EN COURONNES IRRÉGULIÈRES, DE SECTION CIRCULAIRE DE DIAMÈTRE &lt; 14 MM (AUTRE QU'EN ACIERS DE DÉCOLLETAGE ET AUTRE QUE FIL MACHINE AVEC INDENTATIONS, BOURRELETS, CREUX OU RELIEFS OBTENUS LORS DU LAMINAGE)")</f>
        <v xml:space="preserve">   FIL MACHINE EN FER OU ACIERS NON-ALLIÉS, ENROULÉ EN COURONNES IRRÉGULIÈRES, DE SECTION CIRCULAIRE DE DIAMÈTRE &lt; 14 MM (AUTRE QU'EN ACIERS DE DÉCOLLETAGE ET AUTRE QUE FIL MACHINE AVEC INDENTATIONS, BOURRELETS, CREUX OU RELIEFS OBTENUS LORS DU LAMINAGE)</v>
      </c>
      <c r="C7625">
        <v>3588228226</v>
      </c>
      <c r="D7625">
        <v>9396825</v>
      </c>
    </row>
    <row r="7626" spans="1:4" x14ac:dyDescent="0.25">
      <c r="A7626" t="str">
        <f>T("   851790")</f>
        <v xml:space="preserve">   851790</v>
      </c>
      <c r="B7626" t="s">
        <v>454</v>
      </c>
      <c r="C7626">
        <v>1325882</v>
      </c>
      <c r="D7626">
        <v>2</v>
      </c>
    </row>
    <row r="7627" spans="1:4" x14ac:dyDescent="0.25">
      <c r="A7627" t="str">
        <f>T("   901832")</f>
        <v xml:space="preserve">   901832</v>
      </c>
      <c r="B7627" t="str">
        <f>T("   Aiguilles tubulaires en métal et aiguilles à sutures, pour la médecine")</f>
        <v xml:space="preserve">   Aiguilles tubulaires en métal et aiguilles à sutures, pour la médecine</v>
      </c>
      <c r="C7627">
        <v>407351</v>
      </c>
      <c r="D7627">
        <v>102</v>
      </c>
    </row>
    <row r="7628" spans="1:4" x14ac:dyDescent="0.25">
      <c r="A7628" t="str">
        <f>T("LY")</f>
        <v>LY</v>
      </c>
      <c r="B7628" t="str">
        <f>T("Libyenne, Jamahiriya Arabe")</f>
        <v>Libyenne, Jamahiriya Arabe</v>
      </c>
    </row>
    <row r="7629" spans="1:4" x14ac:dyDescent="0.25">
      <c r="A7629" t="str">
        <f>T("   ZZ_Total_Produit_SH6")</f>
        <v xml:space="preserve">   ZZ_Total_Produit_SH6</v>
      </c>
      <c r="B7629" t="str">
        <f>T("   ZZ_Total_Produit_SH6")</f>
        <v xml:space="preserve">   ZZ_Total_Produit_SH6</v>
      </c>
      <c r="C7629">
        <v>7807000</v>
      </c>
      <c r="D7629">
        <v>42290</v>
      </c>
    </row>
    <row r="7630" spans="1:4" x14ac:dyDescent="0.25">
      <c r="A7630" t="str">
        <f>T("   200190")</f>
        <v xml:space="preserve">   200190</v>
      </c>
      <c r="B7630" t="str">
        <f>T("   Légumes, fruits et autres parties comestibles de plantes, préparés ou conservés au vinaigre ou à l'acide acétique (à l'excl. des concombres et des cornichons)")</f>
        <v xml:space="preserve">   Légumes, fruits et autres parties comestibles de plantes, préparés ou conservés au vinaigre ou à l'acide acétique (à l'excl. des concombres et des cornichons)</v>
      </c>
      <c r="C7630">
        <v>7807000</v>
      </c>
      <c r="D7630">
        <v>42290</v>
      </c>
    </row>
    <row r="7631" spans="1:4" x14ac:dyDescent="0.25">
      <c r="A7631" t="str">
        <f>T("MA")</f>
        <v>MA</v>
      </c>
      <c r="B7631" t="str">
        <f>T("Maroc")</f>
        <v>Maroc</v>
      </c>
    </row>
    <row r="7632" spans="1:4" x14ac:dyDescent="0.25">
      <c r="A7632" t="str">
        <f>T("   ZZ_Total_Produit_SH6")</f>
        <v xml:space="preserve">   ZZ_Total_Produit_SH6</v>
      </c>
      <c r="B7632" t="str">
        <f>T("   ZZ_Total_Produit_SH6")</f>
        <v xml:space="preserve">   ZZ_Total_Produit_SH6</v>
      </c>
      <c r="C7632">
        <v>3077348559</v>
      </c>
      <c r="D7632">
        <v>4378932</v>
      </c>
    </row>
    <row r="7633" spans="1:4" x14ac:dyDescent="0.25">
      <c r="A7633" t="str">
        <f>T("   020727")</f>
        <v xml:space="preserve">   020727</v>
      </c>
      <c r="B7633" t="str">
        <f>T("   Morceaux et abats comestibles de dindes et dindons [des espèces domestiques], congelés")</f>
        <v xml:space="preserve">   Morceaux et abats comestibles de dindes et dindons [des espèces domestiques], congelés</v>
      </c>
      <c r="C7633">
        <v>31100000</v>
      </c>
      <c r="D7633">
        <v>50000</v>
      </c>
    </row>
    <row r="7634" spans="1:4" x14ac:dyDescent="0.25">
      <c r="A7634" t="str">
        <f>T("   030261")</f>
        <v xml:space="preserve">   030261</v>
      </c>
      <c r="B7634" t="str">
        <f>T("   Sardines [Sardina pilchardus, Sardinops spp.], sardinelles 'Sardinella spp.', sprats ou esprots 'Sprattus sprattus', frais ou réfrigérés")</f>
        <v xml:space="preserve">   Sardines [Sardina pilchardus, Sardinops spp.], sardinelles 'Sardinella spp.', sprats ou esprots 'Sprattus sprattus', frais ou réfrigérés</v>
      </c>
      <c r="C7634">
        <v>15000000</v>
      </c>
      <c r="D7634">
        <v>55250</v>
      </c>
    </row>
    <row r="7635" spans="1:4" x14ac:dyDescent="0.25">
      <c r="A7635" t="str">
        <f>T("   030329")</f>
        <v xml:space="preserve">   030329</v>
      </c>
      <c r="B7635" t="str">
        <f>T("   Salmonidés, congelés (à l'excl. des saumons du Pacifique, de l'Atlantique et du Danube ainsi que des truites)")</f>
        <v xml:space="preserve">   Salmonidés, congelés (à l'excl. des saumons du Pacifique, de l'Atlantique et du Danube ainsi que des truites)</v>
      </c>
      <c r="C7635">
        <v>5696357</v>
      </c>
      <c r="D7635">
        <v>25316</v>
      </c>
    </row>
    <row r="7636" spans="1:4" x14ac:dyDescent="0.25">
      <c r="A7636" t="str">
        <f>T("   030379")</f>
        <v xml:space="preserve">   030379</v>
      </c>
      <c r="B7636" t="s">
        <v>15</v>
      </c>
      <c r="C7636">
        <v>71515517</v>
      </c>
      <c r="D7636">
        <v>317850</v>
      </c>
    </row>
    <row r="7637" spans="1:4" x14ac:dyDescent="0.25">
      <c r="A7637" t="str">
        <f>T("   160413")</f>
        <v xml:space="preserve">   160413</v>
      </c>
      <c r="B7637" t="str">
        <f>T("   Préparations et conserves de sardines, sardinelles, sprats ou esprots, entiers ou en morceaux (à l'excl. des préparations et conserves de poissons hachés)")</f>
        <v xml:space="preserve">   Préparations et conserves de sardines, sardinelles, sprats ou esprots, entiers ou en morceaux (à l'excl. des préparations et conserves de poissons hachés)</v>
      </c>
      <c r="C7637">
        <v>109217266</v>
      </c>
      <c r="D7637">
        <v>346938</v>
      </c>
    </row>
    <row r="7638" spans="1:4" x14ac:dyDescent="0.25">
      <c r="A7638" t="str">
        <f>T("   170490")</f>
        <v xml:space="preserve">   170490</v>
      </c>
      <c r="B7638" t="str">
        <f>T("   Sucreries sans cacao, y.c. le chocolat blanc (à l'excl. des gommes à mâcher)")</f>
        <v xml:space="preserve">   Sucreries sans cacao, y.c. le chocolat blanc (à l'excl. des gommes à mâcher)</v>
      </c>
      <c r="C7638">
        <v>5469394</v>
      </c>
      <c r="D7638">
        <v>25133</v>
      </c>
    </row>
    <row r="7639" spans="1:4" x14ac:dyDescent="0.25">
      <c r="A7639" t="str">
        <f>T("   190190")</f>
        <v xml:space="preserve">   190190</v>
      </c>
      <c r="B7639" t="s">
        <v>48</v>
      </c>
      <c r="C7639">
        <v>13769329</v>
      </c>
      <c r="D7639">
        <v>26700</v>
      </c>
    </row>
    <row r="7640" spans="1:4" x14ac:dyDescent="0.25">
      <c r="A7640" t="str">
        <f>T("   190240")</f>
        <v xml:space="preserve">   190240</v>
      </c>
      <c r="B7640" t="str">
        <f>T("   Couscous, même préparé")</f>
        <v xml:space="preserve">   Couscous, même préparé</v>
      </c>
      <c r="C7640">
        <v>152182137</v>
      </c>
      <c r="D7640">
        <v>524116</v>
      </c>
    </row>
    <row r="7641" spans="1:4" x14ac:dyDescent="0.25">
      <c r="A7641" t="str">
        <f>T("   190531")</f>
        <v xml:space="preserve">   190531</v>
      </c>
      <c r="B7641" t="str">
        <f>T("   Biscuits additionnés d'édulcorants")</f>
        <v xml:space="preserve">   Biscuits additionnés d'édulcorants</v>
      </c>
      <c r="C7641">
        <v>3461000</v>
      </c>
      <c r="D7641">
        <v>7572</v>
      </c>
    </row>
    <row r="7642" spans="1:4" x14ac:dyDescent="0.25">
      <c r="A7642" t="str">
        <f>T("   200570")</f>
        <v xml:space="preserve">   200570</v>
      </c>
      <c r="B7642" t="str">
        <f>T("   OLIVES, PRÉPARÉES OU CONSERVÉES AUTREMENT QU'AU VINAIGRE OU À L'ACIDE ACÉTIQUE, NON-CONGELÉES")</f>
        <v xml:space="preserve">   OLIVES, PRÉPARÉES OU CONSERVÉES AUTREMENT QU'AU VINAIGRE OU À L'ACIDE ACÉTIQUE, NON-CONGELÉES</v>
      </c>
      <c r="C7642">
        <v>13008704</v>
      </c>
      <c r="D7642">
        <v>22500</v>
      </c>
    </row>
    <row r="7643" spans="1:4" x14ac:dyDescent="0.25">
      <c r="A7643" t="str">
        <f>T("   220290")</f>
        <v xml:space="preserve">   220290</v>
      </c>
      <c r="B7643" t="str">
        <f>T("   BOISSONS NON-ALCOOLIQUES (À L'EXCL. DES EAUX, DES JUS DE FRUITS OU DE LÉGUMES AINSI QUE DU LAIT)")</f>
        <v xml:space="preserve">   BOISSONS NON-ALCOOLIQUES (À L'EXCL. DES EAUX, DES JUS DE FRUITS OU DE LÉGUMES AINSI QUE DU LAIT)</v>
      </c>
      <c r="C7643">
        <v>5797978</v>
      </c>
      <c r="D7643">
        <v>18316</v>
      </c>
    </row>
    <row r="7644" spans="1:4" x14ac:dyDescent="0.25">
      <c r="A7644" t="str">
        <f>T("   252020")</f>
        <v xml:space="preserve">   252020</v>
      </c>
      <c r="B7644" t="str">
        <f>T("   Plâtres, même colorés ou additionnés de faibles quantités d'accélérateurs ou de retardateurs")</f>
        <v xml:space="preserve">   Plâtres, même colorés ou additionnés de faibles quantités d'accélérateurs ou de retardateurs</v>
      </c>
      <c r="C7644">
        <v>4238814</v>
      </c>
      <c r="D7644">
        <v>81000</v>
      </c>
    </row>
    <row r="7645" spans="1:4" x14ac:dyDescent="0.25">
      <c r="A7645" t="str">
        <f>T("   300490")</f>
        <v xml:space="preserve">   300490</v>
      </c>
      <c r="B7645" t="s">
        <v>78</v>
      </c>
      <c r="C7645">
        <v>170683090</v>
      </c>
      <c r="D7645">
        <v>3134</v>
      </c>
    </row>
    <row r="7646" spans="1:4" x14ac:dyDescent="0.25">
      <c r="A7646" t="str">
        <f>T("   320414")</f>
        <v xml:space="preserve">   320414</v>
      </c>
      <c r="B7646" t="s">
        <v>89</v>
      </c>
      <c r="C7646">
        <v>4623862</v>
      </c>
      <c r="D7646">
        <v>7587</v>
      </c>
    </row>
    <row r="7647" spans="1:4" x14ac:dyDescent="0.25">
      <c r="A7647" t="str">
        <f>T("   330300")</f>
        <v xml:space="preserve">   330300</v>
      </c>
      <c r="B7647" t="str">
        <f>T("   Parfums et eaux de toilette (à l'excl. des préparations pour l'après-rasage [lotions after-shave] et des désodorisants corporels)")</f>
        <v xml:space="preserve">   Parfums et eaux de toilette (à l'excl. des préparations pour l'après-rasage [lotions after-shave] et des désodorisants corporels)</v>
      </c>
      <c r="C7647">
        <v>766226</v>
      </c>
      <c r="D7647">
        <v>180</v>
      </c>
    </row>
    <row r="7648" spans="1:4" x14ac:dyDescent="0.25">
      <c r="A7648" t="str">
        <f>T("   350699")</f>
        <v xml:space="preserve">   350699</v>
      </c>
      <c r="B7648" t="str">
        <f>T("   Colles et autres adhésifs préparés, n.d.a.")</f>
        <v xml:space="preserve">   Colles et autres adhésifs préparés, n.d.a.</v>
      </c>
      <c r="C7648">
        <v>334540</v>
      </c>
      <c r="D7648">
        <v>200</v>
      </c>
    </row>
    <row r="7649" spans="1:4" x14ac:dyDescent="0.25">
      <c r="A7649" t="str">
        <f>T("   390410")</f>
        <v xml:space="preserve">   390410</v>
      </c>
      <c r="B7649" t="str">
        <f>T("   Poly[chlorure de vinyle], sous formes primaires, non mélangé à d'autres substances")</f>
        <v xml:space="preserve">   Poly[chlorure de vinyle], sous formes primaires, non mélangé à d'autres substances</v>
      </c>
      <c r="C7649">
        <v>17316032</v>
      </c>
      <c r="D7649">
        <v>28413</v>
      </c>
    </row>
    <row r="7650" spans="1:4" x14ac:dyDescent="0.25">
      <c r="A7650" t="str">
        <f>T("   391722")</f>
        <v xml:space="preserve">   391722</v>
      </c>
      <c r="B7650" t="str">
        <f>T("   TUBES ET TUYAUX RIGIDES, EN POLYMÈRES DU PROPYLÈNE")</f>
        <v xml:space="preserve">   TUBES ET TUYAUX RIGIDES, EN POLYMÈRES DU PROPYLÈNE</v>
      </c>
      <c r="C7650">
        <v>6145689</v>
      </c>
      <c r="D7650">
        <v>3572</v>
      </c>
    </row>
    <row r="7651" spans="1:4" x14ac:dyDescent="0.25">
      <c r="A7651" t="str">
        <f>T("   391740")</f>
        <v xml:space="preserve">   391740</v>
      </c>
      <c r="B7651" t="str">
        <f>T("   Accessoires pour tubes ou tuyaux [joints, coudes, raccords, par exemple], en matières plastiques")</f>
        <v xml:space="preserve">   Accessoires pour tubes ou tuyaux [joints, coudes, raccords, par exemple], en matières plastiques</v>
      </c>
      <c r="C7651">
        <v>4257836</v>
      </c>
      <c r="D7651">
        <v>1600</v>
      </c>
    </row>
    <row r="7652" spans="1:4" x14ac:dyDescent="0.25">
      <c r="A7652" t="str">
        <f>T("   392210")</f>
        <v xml:space="preserve">   392210</v>
      </c>
      <c r="B7652" t="str">
        <f>T("   Baignoires, douches, éviers et lavabos, en matières plastiques")</f>
        <v xml:space="preserve">   Baignoires, douches, éviers et lavabos, en matières plastiques</v>
      </c>
      <c r="C7652">
        <v>678919</v>
      </c>
      <c r="D7652">
        <v>140</v>
      </c>
    </row>
    <row r="7653" spans="1:4" x14ac:dyDescent="0.25">
      <c r="A7653" t="str">
        <f>T("   392590")</f>
        <v xml:space="preserve">   392590</v>
      </c>
      <c r="B7653" t="s">
        <v>146</v>
      </c>
      <c r="C7653">
        <v>789776</v>
      </c>
      <c r="D7653">
        <v>799</v>
      </c>
    </row>
    <row r="7654" spans="1:4" x14ac:dyDescent="0.25">
      <c r="A7654" t="str">
        <f>T("   392690")</f>
        <v xml:space="preserve">   392690</v>
      </c>
      <c r="B7654" t="str">
        <f>T("   Ouvrages en matières plastiques et ouvrages en autres matières du n° 3901 à 3914, n.d.a.")</f>
        <v xml:space="preserve">   Ouvrages en matières plastiques et ouvrages en autres matières du n° 3901 à 3914, n.d.a.</v>
      </c>
      <c r="C7654">
        <v>4574010</v>
      </c>
      <c r="D7654">
        <v>4508</v>
      </c>
    </row>
    <row r="7655" spans="1:4" x14ac:dyDescent="0.25">
      <c r="A7655" t="str">
        <f>T("   401511")</f>
        <v xml:space="preserve">   401511</v>
      </c>
      <c r="B7655" t="str">
        <f>T("   Gants en caoutchouc vulcanisé non durci, pour la chirurgie")</f>
        <v xml:space="preserve">   Gants en caoutchouc vulcanisé non durci, pour la chirurgie</v>
      </c>
      <c r="C7655">
        <v>64284</v>
      </c>
      <c r="D7655">
        <v>242</v>
      </c>
    </row>
    <row r="7656" spans="1:4" x14ac:dyDescent="0.25">
      <c r="A7656" t="str">
        <f>T("   481930")</f>
        <v xml:space="preserve">   481930</v>
      </c>
      <c r="B7656" t="str">
        <f>T("   Sacs, en papier, carton, ouate de cellulose ou nappes de fibres de cellulose, d'une largeur à la base &gt;= 40 cm")</f>
        <v xml:space="preserve">   Sacs, en papier, carton, ouate de cellulose ou nappes de fibres de cellulose, d'une largeur à la base &gt;= 40 cm</v>
      </c>
      <c r="C7656">
        <v>1414790079</v>
      </c>
      <c r="D7656">
        <v>2068934</v>
      </c>
    </row>
    <row r="7657" spans="1:4" x14ac:dyDescent="0.25">
      <c r="A7657" t="str">
        <f>T("   481940")</f>
        <v xml:space="preserve">   481940</v>
      </c>
      <c r="B7657" t="str">
        <f>T("   Sacs, sachets, pochettes et cornets, en papier, carton, ouate de cellulose ou nappes de fibres de cellulose (à l'excl. des pochettes pour disques et des sacs d'une largeur à la base &gt;= 40 cm)")</f>
        <v xml:space="preserve">   Sacs, sachets, pochettes et cornets, en papier, carton, ouate de cellulose ou nappes de fibres de cellulose (à l'excl. des pochettes pour disques et des sacs d'une largeur à la base &gt;= 40 cm)</v>
      </c>
      <c r="C7657">
        <v>30856358</v>
      </c>
      <c r="D7657">
        <v>44400</v>
      </c>
    </row>
    <row r="7658" spans="1:4" x14ac:dyDescent="0.25">
      <c r="A7658" t="str">
        <f>T("   482090")</f>
        <v xml:space="preserve">   482090</v>
      </c>
      <c r="B7658" t="s">
        <v>217</v>
      </c>
      <c r="C7658">
        <v>164250</v>
      </c>
      <c r="D7658">
        <v>85</v>
      </c>
    </row>
    <row r="7659" spans="1:4" x14ac:dyDescent="0.25">
      <c r="A7659" t="str">
        <f>T("   490110")</f>
        <v xml:space="preserve">   490110</v>
      </c>
      <c r="B7659" t="str">
        <f>T("   Livres, brochures et imprimés simil., en feuillets isolés, même pliés (à l'excl. des publications périodiques et des publications à usages principalement publicitaires)")</f>
        <v xml:space="preserve">   Livres, brochures et imprimés simil., en feuillets isolés, même pliés (à l'excl. des publications périodiques et des publications à usages principalement publicitaires)</v>
      </c>
      <c r="C7659">
        <v>152183</v>
      </c>
      <c r="D7659">
        <v>426</v>
      </c>
    </row>
    <row r="7660" spans="1:4" x14ac:dyDescent="0.25">
      <c r="A7660" t="str">
        <f>T("   491000")</f>
        <v xml:space="preserve">   491000</v>
      </c>
      <c r="B7660" t="str">
        <f>T("   Calendriers de tous genres, imprimés, y.c. les blocs de calendriers à effeuiller")</f>
        <v xml:space="preserve">   Calendriers de tous genres, imprimés, y.c. les blocs de calendriers à effeuiller</v>
      </c>
      <c r="C7660">
        <v>3280</v>
      </c>
      <c r="D7660">
        <v>250</v>
      </c>
    </row>
    <row r="7661" spans="1:4" x14ac:dyDescent="0.25">
      <c r="A7661" t="str">
        <f>T("   491110")</f>
        <v xml:space="preserve">   491110</v>
      </c>
      <c r="B7661" t="str">
        <f>T("   Imprimés publicitaires, catalogues commerciaux et simil.")</f>
        <v xml:space="preserve">   Imprimés publicitaires, catalogues commerciaux et simil.</v>
      </c>
      <c r="C7661">
        <v>255824</v>
      </c>
      <c r="D7661">
        <v>538</v>
      </c>
    </row>
    <row r="7662" spans="1:4" x14ac:dyDescent="0.25">
      <c r="A7662" t="str">
        <f>T("   560710")</f>
        <v xml:space="preserve">   560710</v>
      </c>
      <c r="B7662" t="str">
        <f>T("   Ficelles, cordes et cordages de jute ou d'autres fibres textiles libériennes du n° 5303, tressés ou non, même imprégnés, enduits, recouverts ou gainés de caoutchouc ou de matière plastique")</f>
        <v xml:space="preserve">   Ficelles, cordes et cordages de jute ou d'autres fibres textiles libériennes du n° 5303, tressés ou non, même imprégnés, enduits, recouverts ou gainés de caoutchouc ou de matière plastique</v>
      </c>
      <c r="C7662">
        <v>2550142</v>
      </c>
      <c r="D7662">
        <v>13600</v>
      </c>
    </row>
    <row r="7663" spans="1:4" x14ac:dyDescent="0.25">
      <c r="A7663" t="str">
        <f>T("   610349")</f>
        <v xml:space="preserve">   610349</v>
      </c>
      <c r="B7663" t="str">
        <f>T("   PANTALONS, Y.C. KNICKERS ET PANTALONS SIMIL., SALOPETTES À BRETELLES, CULOTTES ET SHORTS, EN BONNETERIE, DE MATIÈRES TEXTILES, POUR HOMMES OU GARÇONNETS (SAUF DE LAINE, POILS FINS, COTON OU FIBRES SYNTHÉTIQUES ET SAUF CALETHONS ET SLIPS DE BAIN)")</f>
        <v xml:space="preserve">   PANTALONS, Y.C. KNICKERS ET PANTALONS SIMIL., SALOPETTES À BRETELLES, CULOTTES ET SHORTS, EN BONNETERIE, DE MATIÈRES TEXTILES, POUR HOMMES OU GARÇONNETS (SAUF DE LAINE, POILS FINS, COTON OU FIBRES SYNTHÉTIQUES ET SAUF CALETHONS ET SLIPS DE BAIN)</v>
      </c>
      <c r="C7663">
        <v>337250</v>
      </c>
      <c r="D7663">
        <v>54</v>
      </c>
    </row>
    <row r="7664" spans="1:4" x14ac:dyDescent="0.25">
      <c r="A7664" t="str">
        <f>T("   611490")</f>
        <v xml:space="preserve">   611490</v>
      </c>
      <c r="B7664" t="str">
        <f>T("   Vêtements spéciaux destinés à des fins professionnelles, sportives ou autres n.d.a., en bonneterie, de matières textiles (sauf de laine, poils fins, coton, fibres synthétiques ou artificielles)")</f>
        <v xml:space="preserve">   Vêtements spéciaux destinés à des fins professionnelles, sportives ou autres n.d.a., en bonneterie, de matières textiles (sauf de laine, poils fins, coton, fibres synthétiques ou artificielles)</v>
      </c>
      <c r="C7664">
        <v>3484938</v>
      </c>
      <c r="D7664">
        <v>192</v>
      </c>
    </row>
    <row r="7665" spans="1:4" x14ac:dyDescent="0.25">
      <c r="A7665" t="str">
        <f>T("   620590")</f>
        <v xml:space="preserve">   620590</v>
      </c>
      <c r="B7665"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7665">
        <v>1550000</v>
      </c>
      <c r="D7665">
        <v>1150</v>
      </c>
    </row>
    <row r="7666" spans="1:4" x14ac:dyDescent="0.25">
      <c r="A7666" t="str">
        <f>T("   621020")</f>
        <v xml:space="preserve">   621020</v>
      </c>
      <c r="B7666" t="str">
        <f>T("   Vêtements des types du n° 6201.11 à 6201.19 [manteaux, cabans, capes et articles simil.], caoutchoutés ou imprégnés, enduits ou recouverts de matière plastique ou d'autres substances")</f>
        <v xml:space="preserve">   Vêtements des types du n° 6201.11 à 6201.19 [manteaux, cabans, capes et articles simil.], caoutchoutés ou imprégnés, enduits ou recouverts de matière plastique ou d'autres substances</v>
      </c>
      <c r="C7666">
        <v>600000</v>
      </c>
      <c r="D7666">
        <v>110</v>
      </c>
    </row>
    <row r="7667" spans="1:4" x14ac:dyDescent="0.25">
      <c r="A7667" t="str">
        <f>T("   621590")</f>
        <v xml:space="preserve">   621590</v>
      </c>
      <c r="B7667" t="str">
        <f>T("   Cravates, noeuds papillons et foulards cravates, de matières textiles (autres que fibres synthétiques ou artificielles, soie et déchets de soie et autres qu'en bonneterie)")</f>
        <v xml:space="preserve">   Cravates, noeuds papillons et foulards cravates, de matières textiles (autres que fibres synthétiques ou artificielles, soie et déchets de soie et autres qu'en bonneterie)</v>
      </c>
      <c r="C7667">
        <v>100000</v>
      </c>
      <c r="D7667">
        <v>76</v>
      </c>
    </row>
    <row r="7668" spans="1:4" x14ac:dyDescent="0.25">
      <c r="A7668" t="str">
        <f>T("   630239")</f>
        <v xml:space="preserve">   630239</v>
      </c>
      <c r="B7668" t="str">
        <f>T("   Linge de lit de matières textiles (autres que de coton, fibres synthétiques ou artificielles, autre qu'imprimé, autre qu'en bonneterie)")</f>
        <v xml:space="preserve">   Linge de lit de matières textiles (autres que de coton, fibres synthétiques ou artificielles, autre qu'imprimé, autre qu'en bonneterie)</v>
      </c>
      <c r="C7668">
        <v>100000</v>
      </c>
      <c r="D7668">
        <v>81</v>
      </c>
    </row>
    <row r="7669" spans="1:4" x14ac:dyDescent="0.25">
      <c r="A7669" t="str">
        <f>T("   630900")</f>
        <v xml:space="preserve">   630900</v>
      </c>
      <c r="B7669" t="s">
        <v>280</v>
      </c>
      <c r="C7669">
        <v>19600084</v>
      </c>
      <c r="D7669">
        <v>26000</v>
      </c>
    </row>
    <row r="7670" spans="1:4" x14ac:dyDescent="0.25">
      <c r="A7670" t="str">
        <f>T("   640590")</f>
        <v xml:space="preserve">   640590</v>
      </c>
      <c r="B7670" t="s">
        <v>290</v>
      </c>
      <c r="C7670">
        <v>400400</v>
      </c>
      <c r="D7670">
        <v>257</v>
      </c>
    </row>
    <row r="7671" spans="1:4" x14ac:dyDescent="0.25">
      <c r="A7671" t="str">
        <f>T("   691090")</f>
        <v xml:space="preserve">   691090</v>
      </c>
      <c r="B7671" t="s">
        <v>313</v>
      </c>
      <c r="C7671">
        <v>12427092</v>
      </c>
      <c r="D7671">
        <v>13574</v>
      </c>
    </row>
    <row r="7672" spans="1:4" x14ac:dyDescent="0.25">
      <c r="A7672" t="str">
        <f>T("   701090")</f>
        <v xml:space="preserve">   701090</v>
      </c>
      <c r="B7672" t="s">
        <v>323</v>
      </c>
      <c r="C7672">
        <v>4932819</v>
      </c>
      <c r="D7672">
        <v>11703</v>
      </c>
    </row>
    <row r="7673" spans="1:4" x14ac:dyDescent="0.25">
      <c r="A7673" t="str">
        <f>T("   721049")</f>
        <v xml:space="preserve">   721049</v>
      </c>
      <c r="B7673" t="str">
        <f>T("   Produits laminés plats, en fer ou en aciers non alliés, d'une largeur &gt;= 600 mm, laminés à chaud ou à froid, zingués, non ondulés (à l'excl. des produits zingués électrolytiquement)")</f>
        <v xml:space="preserve">   Produits laminés plats, en fer ou en aciers non alliés, d'une largeur &gt;= 600 mm, laminés à chaud ou à froid, zingués, non ondulés (à l'excl. des produits zingués électrolytiquement)</v>
      </c>
      <c r="C7673">
        <v>35390721</v>
      </c>
      <c r="D7673">
        <v>73810</v>
      </c>
    </row>
    <row r="7674" spans="1:4" x14ac:dyDescent="0.25">
      <c r="A7674" t="str">
        <f>T("   730791")</f>
        <v xml:space="preserve">   730791</v>
      </c>
      <c r="B7674" t="str">
        <f>T("   Brides en fer ou aciers (autres que moulés ou en acier inoxydable)")</f>
        <v xml:space="preserve">   Brides en fer ou aciers (autres que moulés ou en acier inoxydable)</v>
      </c>
      <c r="C7674">
        <v>543135</v>
      </c>
      <c r="D7674">
        <v>346</v>
      </c>
    </row>
    <row r="7675" spans="1:4" x14ac:dyDescent="0.25">
      <c r="A7675" t="str">
        <f>T("   730799")</f>
        <v xml:space="preserve">   730799</v>
      </c>
      <c r="B7675" t="str">
        <f>T("   Accessoires de tuyauterie, en fer ou aciers (autres que moulés ou en aciers inoxydables; sauf brides; coudes, courbes et manchons, filetés et sauf accessoires à souder bout à bout)")</f>
        <v xml:space="preserve">   Accessoires de tuyauterie, en fer ou aciers (autres que moulés ou en aciers inoxydables; sauf brides; coudes, courbes et manchons, filetés et sauf accessoires à souder bout à bout)</v>
      </c>
      <c r="C7675">
        <v>1100701</v>
      </c>
      <c r="D7675">
        <v>1200</v>
      </c>
    </row>
    <row r="7676" spans="1:4" x14ac:dyDescent="0.25">
      <c r="A7676" t="str">
        <f>T("   730890")</f>
        <v xml:space="preserve">   730890</v>
      </c>
      <c r="B7676" t="s">
        <v>349</v>
      </c>
      <c r="C7676">
        <v>4741279</v>
      </c>
      <c r="D7676">
        <v>1506</v>
      </c>
    </row>
    <row r="7677" spans="1:4" x14ac:dyDescent="0.25">
      <c r="A7677" t="str">
        <f>T("   731824")</f>
        <v xml:space="preserve">   731824</v>
      </c>
      <c r="B7677" t="str">
        <f>T("   Goupilles, chevilles et clavettes en fonte, fer ou acier")</f>
        <v xml:space="preserve">   Goupilles, chevilles et clavettes en fonte, fer ou acier</v>
      </c>
      <c r="C7677">
        <v>781248</v>
      </c>
      <c r="D7677">
        <v>827</v>
      </c>
    </row>
    <row r="7678" spans="1:4" x14ac:dyDescent="0.25">
      <c r="A7678" t="str">
        <f>T("   732394")</f>
        <v xml:space="preserve">   732394</v>
      </c>
      <c r="B7678" t="s">
        <v>361</v>
      </c>
      <c r="C7678">
        <v>900000</v>
      </c>
      <c r="D7678">
        <v>700</v>
      </c>
    </row>
    <row r="7679" spans="1:4" x14ac:dyDescent="0.25">
      <c r="A7679" t="str">
        <f>T("   732399")</f>
        <v xml:space="preserve">   732399</v>
      </c>
      <c r="B7679" t="s">
        <v>362</v>
      </c>
      <c r="C7679">
        <v>478278</v>
      </c>
      <c r="D7679">
        <v>125</v>
      </c>
    </row>
    <row r="7680" spans="1:4" x14ac:dyDescent="0.25">
      <c r="A7680" t="str">
        <f>T("   732690")</f>
        <v xml:space="preserve">   732690</v>
      </c>
      <c r="B7680"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7680">
        <v>847500</v>
      </c>
      <c r="D7680">
        <v>822</v>
      </c>
    </row>
    <row r="7681" spans="1:4" x14ac:dyDescent="0.25">
      <c r="A7681" t="str">
        <f>T("   741819")</f>
        <v xml:space="preserve">   741819</v>
      </c>
      <c r="B7681" t="s">
        <v>365</v>
      </c>
      <c r="C7681">
        <v>4085327</v>
      </c>
      <c r="D7681">
        <v>500</v>
      </c>
    </row>
    <row r="7682" spans="1:4" x14ac:dyDescent="0.25">
      <c r="A7682" t="str">
        <f>T("   830990")</f>
        <v xml:space="preserve">   830990</v>
      </c>
      <c r="B7682" t="str">
        <f>T("   Bouchons [y.c. les bouchons à pas de vis et les bouchons-verseurs], couvercles, capsules pour bouteilles, bondes filetées, plaques de bondes, scellés et autres accessoires d'emballage, en métaux communs (à l'excl. des bouchons-couronnes)")</f>
        <v xml:space="preserve">   Bouchons [y.c. les bouchons à pas de vis et les bouchons-verseurs], couvercles, capsules pour bouteilles, bondes filetées, plaques de bondes, scellés et autres accessoires d'emballage, en métaux communs (à l'excl. des bouchons-couronnes)</v>
      </c>
      <c r="C7682">
        <v>179077</v>
      </c>
      <c r="D7682">
        <v>280</v>
      </c>
    </row>
    <row r="7683" spans="1:4" x14ac:dyDescent="0.25">
      <c r="A7683" t="str">
        <f>T("   831110")</f>
        <v xml:space="preserve">   831110</v>
      </c>
      <c r="B7683" t="str">
        <f>T("   ÉLECTRODES ENROBÉES EN MÉTAUX COMMUNS, POUR LE SOUDAGE À L'ARC")</f>
        <v xml:space="preserve">   ÉLECTRODES ENROBÉES EN MÉTAUX COMMUNS, POUR LE SOUDAGE À L'ARC</v>
      </c>
      <c r="C7683">
        <v>12397643</v>
      </c>
      <c r="D7683">
        <v>17762</v>
      </c>
    </row>
    <row r="7684" spans="1:4" x14ac:dyDescent="0.25">
      <c r="A7684" t="str">
        <f>T("   847130")</f>
        <v xml:space="preserve">   847130</v>
      </c>
      <c r="B7684" t="str">
        <f>T("   Machines automatiques de traitement de l'information numériques, portatives, d'un poids &lt;= 10 kg, comportant au moins une unité centrale de traitement, un clavier et un écran (à l'excl. des unités périphériques)")</f>
        <v xml:space="preserve">   Machines automatiques de traitement de l'information numériques, portatives, d'un poids &lt;= 10 kg, comportant au moins une unité centrale de traitement, un clavier et un écran (à l'excl. des unités périphériques)</v>
      </c>
      <c r="C7684">
        <v>400000</v>
      </c>
      <c r="D7684">
        <v>126</v>
      </c>
    </row>
    <row r="7685" spans="1:4" x14ac:dyDescent="0.25">
      <c r="A7685" t="str">
        <f>T("   847180")</f>
        <v xml:space="preserve">   847180</v>
      </c>
      <c r="B7685" t="str">
        <f>T("   Unités de machines automatiques de traitement de l'information, numériques (à l'excl. des unités de traitement, unités d'entrée ou de sortie et unités de mémoire)")</f>
        <v xml:space="preserve">   Unités de machines automatiques de traitement de l'information, numériques (à l'excl. des unités de traitement, unités d'entrée ou de sortie et unités de mémoire)</v>
      </c>
      <c r="C7685">
        <v>220250</v>
      </c>
      <c r="D7685">
        <v>90</v>
      </c>
    </row>
    <row r="7686" spans="1:4" x14ac:dyDescent="0.25">
      <c r="A7686" t="str">
        <f>T("   847290")</f>
        <v xml:space="preserve">   847290</v>
      </c>
      <c r="B7686" t="str">
        <f>T("   Machines et appareils de bureau, n.d.a.")</f>
        <v xml:space="preserve">   Machines et appareils de bureau, n.d.a.</v>
      </c>
      <c r="C7686">
        <v>17109405</v>
      </c>
      <c r="D7686">
        <v>1498</v>
      </c>
    </row>
    <row r="7687" spans="1:4" x14ac:dyDescent="0.25">
      <c r="A7687" t="str">
        <f>T("   848180")</f>
        <v xml:space="preserve">   848180</v>
      </c>
      <c r="B7687" t="str">
        <f>T("   Articles de robinetterie et organes simil. pour tuyauteries, etc. (à l'excl. des détendeurs, valves pour transmissions oléohydrauliques ou pneumatiques, clapets et soupapes de retenue et sauf soupapes de trop-plein ou de sûreté)")</f>
        <v xml:space="preserve">   Articles de robinetterie et organes simil. pour tuyauteries, etc. (à l'excl. des détendeurs, valves pour transmissions oléohydrauliques ou pneumatiques, clapets et soupapes de retenue et sauf soupapes de trop-plein ou de sûreté)</v>
      </c>
      <c r="C7687">
        <v>4032186</v>
      </c>
      <c r="D7687">
        <v>1955</v>
      </c>
    </row>
    <row r="7688" spans="1:4" x14ac:dyDescent="0.25">
      <c r="A7688" t="str">
        <f>T("   850421")</f>
        <v xml:space="preserve">   850421</v>
      </c>
      <c r="B7688" t="str">
        <f>T("   Transformateurs à diélectrique liquide, puissance &lt;= 650 kVA")</f>
        <v xml:space="preserve">   Transformateurs à diélectrique liquide, puissance &lt;= 650 kVA</v>
      </c>
      <c r="C7688">
        <v>6331326</v>
      </c>
      <c r="D7688">
        <v>6180</v>
      </c>
    </row>
    <row r="7689" spans="1:4" x14ac:dyDescent="0.25">
      <c r="A7689" t="str">
        <f>T("   850433")</f>
        <v xml:space="preserve">   850433</v>
      </c>
      <c r="B7689" t="str">
        <f>T("   Transformateurs à sec, puissance &gt; 16 kVA mais &lt;= 500 kVA")</f>
        <v xml:space="preserve">   Transformateurs à sec, puissance &gt; 16 kVA mais &lt;= 500 kVA</v>
      </c>
      <c r="C7689">
        <v>5053516</v>
      </c>
      <c r="D7689">
        <v>1744</v>
      </c>
    </row>
    <row r="7690" spans="1:4" x14ac:dyDescent="0.25">
      <c r="A7690" t="str">
        <f>T("   850780")</f>
        <v xml:space="preserve">   850780</v>
      </c>
      <c r="B7690" t="str">
        <f>T("   Accumulateurs électriques (sauf hors d'usage et autres qu'au plomb, au nickel-cadmium ou au nickel-fer)")</f>
        <v xml:space="preserve">   Accumulateurs électriques (sauf hors d'usage et autres qu'au plomb, au nickel-cadmium ou au nickel-fer)</v>
      </c>
      <c r="C7690">
        <v>1788147</v>
      </c>
      <c r="D7690">
        <v>1471</v>
      </c>
    </row>
    <row r="7691" spans="1:4" x14ac:dyDescent="0.25">
      <c r="A7691" t="str">
        <f>T("   851780")</f>
        <v xml:space="preserve">   851780</v>
      </c>
      <c r="B7691" t="s">
        <v>453</v>
      </c>
      <c r="C7691">
        <v>89210</v>
      </c>
      <c r="D7691">
        <v>86</v>
      </c>
    </row>
    <row r="7692" spans="1:4" x14ac:dyDescent="0.25">
      <c r="A7692" t="str">
        <f>T("   851829")</f>
        <v xml:space="preserve">   851829</v>
      </c>
      <c r="B7692" t="str">
        <f>T("   Haut-parleurs sans enceinte")</f>
        <v xml:space="preserve">   Haut-parleurs sans enceinte</v>
      </c>
      <c r="C7692">
        <v>123450</v>
      </c>
      <c r="D7692">
        <v>20</v>
      </c>
    </row>
    <row r="7693" spans="1:4" x14ac:dyDescent="0.25">
      <c r="A7693" t="str">
        <f>T("   852530")</f>
        <v xml:space="preserve">   852530</v>
      </c>
      <c r="B7693" t="str">
        <f>T("   Caméras de télévision (à l'excl. de caméscopes)")</f>
        <v xml:space="preserve">   Caméras de télévision (à l'excl. de caméscopes)</v>
      </c>
      <c r="C7693">
        <v>102250</v>
      </c>
      <c r="D7693">
        <v>13</v>
      </c>
    </row>
    <row r="7694" spans="1:4" x14ac:dyDescent="0.25">
      <c r="A7694" t="str">
        <f>T("   852812")</f>
        <v xml:space="preserve">   852812</v>
      </c>
      <c r="B7694"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7694">
        <v>392122</v>
      </c>
      <c r="D7694">
        <v>265</v>
      </c>
    </row>
    <row r="7695" spans="1:4" x14ac:dyDescent="0.25">
      <c r="A7695" t="str">
        <f>T("   853590")</f>
        <v xml:space="preserve">   853590</v>
      </c>
      <c r="B7695" t="s">
        <v>468</v>
      </c>
      <c r="C7695">
        <v>5205698</v>
      </c>
      <c r="D7695">
        <v>55</v>
      </c>
    </row>
    <row r="7696" spans="1:4" x14ac:dyDescent="0.25">
      <c r="A7696" t="str">
        <f>T("   853610")</f>
        <v xml:space="preserve">   853610</v>
      </c>
      <c r="B7696" t="str">
        <f>T("   Fusibles et coupe-circuit à fusibles, pour une tension &lt;= 1.000 V")</f>
        <v xml:space="preserve">   Fusibles et coupe-circuit à fusibles, pour une tension &lt;= 1.000 V</v>
      </c>
      <c r="C7696">
        <v>196787</v>
      </c>
      <c r="D7696">
        <v>708</v>
      </c>
    </row>
    <row r="7697" spans="1:4" x14ac:dyDescent="0.25">
      <c r="A7697" t="str">
        <f>T("   853620")</f>
        <v xml:space="preserve">   853620</v>
      </c>
      <c r="B7697" t="str">
        <f>T("   Disjoncteurs, pour une tension &lt;= 1.000 V")</f>
        <v xml:space="preserve">   Disjoncteurs, pour une tension &lt;= 1.000 V</v>
      </c>
      <c r="C7697">
        <v>7719993</v>
      </c>
      <c r="D7697">
        <v>7417</v>
      </c>
    </row>
    <row r="7698" spans="1:4" x14ac:dyDescent="0.25">
      <c r="A7698" t="str">
        <f>T("   853650")</f>
        <v xml:space="preserve">   853650</v>
      </c>
      <c r="B7698" t="str">
        <f>T("   Interrupteurs, sectionneurs et commutateurs, pour une tension &lt;= 1.000 V (autres que relais et disjoncteurs)")</f>
        <v xml:space="preserve">   Interrupteurs, sectionneurs et commutateurs, pour une tension &lt;= 1.000 V (autres que relais et disjoncteurs)</v>
      </c>
      <c r="C7698">
        <v>7763944</v>
      </c>
      <c r="D7698">
        <v>7605</v>
      </c>
    </row>
    <row r="7699" spans="1:4" x14ac:dyDescent="0.25">
      <c r="A7699" t="str">
        <f>T("   853669")</f>
        <v xml:space="preserve">   853669</v>
      </c>
      <c r="B7699" t="str">
        <f>T("   Fiches et prises de courant, pour une tension &lt;= 1.000 V (sauf douilles pour lampes)")</f>
        <v xml:space="preserve">   Fiches et prises de courant, pour une tension &lt;= 1.000 V (sauf douilles pour lampes)</v>
      </c>
      <c r="C7699">
        <v>33330880</v>
      </c>
      <c r="D7699">
        <v>44441</v>
      </c>
    </row>
    <row r="7700" spans="1:4" x14ac:dyDescent="0.25">
      <c r="A7700" t="str">
        <f>T("   853690")</f>
        <v xml:space="preserve">   853690</v>
      </c>
      <c r="B7700" t="s">
        <v>469</v>
      </c>
      <c r="C7700">
        <v>54532577</v>
      </c>
      <c r="D7700">
        <v>56018</v>
      </c>
    </row>
    <row r="7701" spans="1:4" x14ac:dyDescent="0.25">
      <c r="A7701" t="str">
        <f>T("   853810")</f>
        <v xml:space="preserve">   853810</v>
      </c>
      <c r="B7701" t="str">
        <f>T("   Tableaux, panneaux, consoles, pupitres, armoires et autres supports pour articles du n° 8537, dépourvus de leurs appareils")</f>
        <v xml:space="preserve">   Tableaux, panneaux, consoles, pupitres, armoires et autres supports pour articles du n° 8537, dépourvus de leurs appareils</v>
      </c>
      <c r="C7701">
        <v>30019356</v>
      </c>
      <c r="D7701">
        <v>29887</v>
      </c>
    </row>
    <row r="7702" spans="1:4" x14ac:dyDescent="0.25">
      <c r="A7702" t="str">
        <f>T("   853890")</f>
        <v xml:space="preserve">   853890</v>
      </c>
      <c r="B7702" t="s">
        <v>470</v>
      </c>
      <c r="C7702">
        <v>2790453</v>
      </c>
      <c r="D7702">
        <v>459</v>
      </c>
    </row>
    <row r="7703" spans="1:4" x14ac:dyDescent="0.25">
      <c r="A7703" t="str">
        <f>T("   853939")</f>
        <v xml:space="preserve">   853939</v>
      </c>
      <c r="B7703" t="str">
        <f>T("   Lampes et tubes à décharge (autres que fluorescents, à cathode chaude, à vapeur de mercure ou de sodium, à halogénure métallique et qu'à rayons ultraviolets)")</f>
        <v xml:space="preserve">   Lampes et tubes à décharge (autres que fluorescents, à cathode chaude, à vapeur de mercure ou de sodium, à halogénure métallique et qu'à rayons ultraviolets)</v>
      </c>
      <c r="C7703">
        <v>3795385</v>
      </c>
      <c r="D7703">
        <v>3695</v>
      </c>
    </row>
    <row r="7704" spans="1:4" x14ac:dyDescent="0.25">
      <c r="A7704" t="str">
        <f>T("   854420")</f>
        <v xml:space="preserve">   854420</v>
      </c>
      <c r="B7704" t="str">
        <f>T("   Câbles coaxiaux et autres conducteurs électriques coaxiaux, isolés")</f>
        <v xml:space="preserve">   Câbles coaxiaux et autres conducteurs électriques coaxiaux, isolés</v>
      </c>
      <c r="C7704">
        <v>101893547</v>
      </c>
      <c r="D7704">
        <v>69914</v>
      </c>
    </row>
    <row r="7705" spans="1:4" x14ac:dyDescent="0.25">
      <c r="A7705" t="str">
        <f>T("   854441")</f>
        <v xml:space="preserve">   854441</v>
      </c>
      <c r="B7705" t="str">
        <f>T("   Conducteurs électriques, pour tension &lt;= 80 V, isolés, avec pièces de connexion, n.d.a.")</f>
        <v xml:space="preserve">   Conducteurs électriques, pour tension &lt;= 80 V, isolés, avec pièces de connexion, n.d.a.</v>
      </c>
      <c r="C7705">
        <v>26802526</v>
      </c>
      <c r="D7705">
        <v>52426</v>
      </c>
    </row>
    <row r="7706" spans="1:4" x14ac:dyDescent="0.25">
      <c r="A7706" t="str">
        <f>T("   854449")</f>
        <v xml:space="preserve">   854449</v>
      </c>
      <c r="B7706" t="str">
        <f>T("   CONDUCTEURS ÉLECTRIQUES, POUR TENSION &lt;= 1.000 V, ISOLÉS, SANS PIÈCES DE CONNEXION, N.D.A.")</f>
        <v xml:space="preserve">   CONDUCTEURS ÉLECTRIQUES, POUR TENSION &lt;= 1.000 V, ISOLÉS, SANS PIÈCES DE CONNEXION, N.D.A.</v>
      </c>
      <c r="C7706">
        <v>354110168</v>
      </c>
      <c r="D7706">
        <v>144609</v>
      </c>
    </row>
    <row r="7707" spans="1:4" x14ac:dyDescent="0.25">
      <c r="A7707" t="str">
        <f>T("   854451")</f>
        <v xml:space="preserve">   854451</v>
      </c>
      <c r="B7707" t="str">
        <f>T("   Conducteurs électriques, pour tension &gt; 80 V mais &lt;= 1.000 V, avec pièces de connexion, n.d.a.")</f>
        <v xml:space="preserve">   Conducteurs électriques, pour tension &gt; 80 V mais &lt;= 1.000 V, avec pièces de connexion, n.d.a.</v>
      </c>
      <c r="C7707">
        <v>2564803</v>
      </c>
      <c r="D7707">
        <v>2635</v>
      </c>
    </row>
    <row r="7708" spans="1:4" x14ac:dyDescent="0.25">
      <c r="A7708" t="str">
        <f>T("   854459")</f>
        <v xml:space="preserve">   854459</v>
      </c>
      <c r="B7708" t="str">
        <f>T("   Conducteurs électriques, pour tension &gt; 80 V mais &lt;= 1.000 V, sans pièces de connexion, n.d.a.")</f>
        <v xml:space="preserve">   Conducteurs électriques, pour tension &gt; 80 V mais &lt;= 1.000 V, sans pièces de connexion, n.d.a.</v>
      </c>
      <c r="C7708">
        <v>9483214</v>
      </c>
      <c r="D7708">
        <v>11697</v>
      </c>
    </row>
    <row r="7709" spans="1:4" x14ac:dyDescent="0.25">
      <c r="A7709" t="str">
        <f>T("   854460")</f>
        <v xml:space="preserve">   854460</v>
      </c>
      <c r="B7709" t="str">
        <f>T("   Conducteurs électriques, pour tension &gt; 1.000 V, n.d.a.")</f>
        <v xml:space="preserve">   Conducteurs électriques, pour tension &gt; 1.000 V, n.d.a.</v>
      </c>
      <c r="C7709">
        <v>612011</v>
      </c>
      <c r="D7709">
        <v>800</v>
      </c>
    </row>
    <row r="7710" spans="1:4" x14ac:dyDescent="0.25">
      <c r="A7710" t="str">
        <f>T("   854720")</f>
        <v xml:space="preserve">   854720</v>
      </c>
      <c r="B7710" t="str">
        <f>T("   Pièces isolantes en matières plastiques, pour usages électriques")</f>
        <v xml:space="preserve">   Pièces isolantes en matières plastiques, pour usages électriques</v>
      </c>
      <c r="C7710">
        <v>1468039</v>
      </c>
      <c r="D7710">
        <v>1631</v>
      </c>
    </row>
    <row r="7711" spans="1:4" x14ac:dyDescent="0.25">
      <c r="A7711" t="str">
        <f>T("   854790")</f>
        <v xml:space="preserve">   854790</v>
      </c>
      <c r="B7711" t="str">
        <f>T("   Pièces isolantes, pour usages électriques (autres qu'en céramique ou en matières plastiques, et que tubes isolateurs et leurs pièces de raccordement, en métaux communs, isolés intérieurement)")</f>
        <v xml:space="preserve">   Pièces isolantes, pour usages électriques (autres qu'en céramique ou en matières plastiques, et que tubes isolateurs et leurs pièces de raccordement, en métaux communs, isolés intérieurement)</v>
      </c>
      <c r="C7711">
        <v>226000</v>
      </c>
      <c r="D7711">
        <v>148</v>
      </c>
    </row>
    <row r="7712" spans="1:4" x14ac:dyDescent="0.25">
      <c r="A7712" t="str">
        <f>T("   870322")</f>
        <v xml:space="preserve">   870322</v>
      </c>
      <c r="B7712" t="s">
        <v>475</v>
      </c>
      <c r="C7712">
        <v>1200000</v>
      </c>
      <c r="D7712">
        <v>1500</v>
      </c>
    </row>
    <row r="7713" spans="1:4" x14ac:dyDescent="0.25">
      <c r="A7713" t="str">
        <f>T("   870324")</f>
        <v xml:space="preserve">   870324</v>
      </c>
      <c r="B7713" t="s">
        <v>477</v>
      </c>
      <c r="C7713">
        <v>16502212</v>
      </c>
      <c r="D7713">
        <v>2500</v>
      </c>
    </row>
    <row r="7714" spans="1:4" x14ac:dyDescent="0.25">
      <c r="A7714" t="str">
        <f>T("   870333")</f>
        <v xml:space="preserve">   870333</v>
      </c>
      <c r="B7714" t="s">
        <v>480</v>
      </c>
      <c r="C7714">
        <v>63106501</v>
      </c>
      <c r="D7714">
        <v>6420</v>
      </c>
    </row>
    <row r="7715" spans="1:4" x14ac:dyDescent="0.25">
      <c r="A7715" t="str">
        <f>T("   871419")</f>
        <v xml:space="preserve">   871419</v>
      </c>
      <c r="B7715" t="str">
        <f>T("   Parties et accessoires de motocycles, y.c. de cyclomoteurs, n.d.a.")</f>
        <v xml:space="preserve">   Parties et accessoires de motocycles, y.c. de cyclomoteurs, n.d.a.</v>
      </c>
      <c r="C7715">
        <v>29528039</v>
      </c>
      <c r="D7715">
        <v>5078</v>
      </c>
    </row>
    <row r="7716" spans="1:4" x14ac:dyDescent="0.25">
      <c r="A7716" t="str">
        <f>T("   871620")</f>
        <v xml:space="preserve">   871620</v>
      </c>
      <c r="B7716" t="str">
        <f>T("   Remorques et semi-remorques autochargeuses ou autodéchargeuses, pour usages agricoles")</f>
        <v xml:space="preserve">   Remorques et semi-remorques autochargeuses ou autodéchargeuses, pour usages agricoles</v>
      </c>
      <c r="C7716">
        <v>33312273</v>
      </c>
      <c r="D7716">
        <v>29200</v>
      </c>
    </row>
    <row r="7717" spans="1:4" x14ac:dyDescent="0.25">
      <c r="A7717" t="str">
        <f>T("   880510")</f>
        <v xml:space="preserve">   880510</v>
      </c>
      <c r="B7717" t="str">
        <f>T("   Appareils et dispositifs pour le lancement de véhicules aériens (sauf treuils pour lancer les planeurs), leurs parties, n.d.a.; appareils et dispositifs pour l'appontage de véhicules aériens, et simil., leurs parties, n.d.a.")</f>
        <v xml:space="preserve">   Appareils et dispositifs pour le lancement de véhicules aériens (sauf treuils pour lancer les planeurs), leurs parties, n.d.a.; appareils et dispositifs pour l'appontage de véhicules aériens, et simil., leurs parties, n.d.a.</v>
      </c>
      <c r="C7717">
        <v>148247</v>
      </c>
      <c r="D7717">
        <v>200</v>
      </c>
    </row>
    <row r="7718" spans="1:4" x14ac:dyDescent="0.25">
      <c r="A7718" t="str">
        <f>T("   901890")</f>
        <v xml:space="preserve">   901890</v>
      </c>
      <c r="B7718" t="str">
        <f>T("   Instruments et appareils pour la médecine, la chirurgie ou l'art vétérinaire, n.d.a.")</f>
        <v xml:space="preserve">   Instruments et appareils pour la médecine, la chirurgie ou l'art vétérinaire, n.d.a.</v>
      </c>
      <c r="C7718">
        <v>5248</v>
      </c>
      <c r="D7718">
        <v>8</v>
      </c>
    </row>
    <row r="7719" spans="1:4" x14ac:dyDescent="0.25">
      <c r="A7719" t="str">
        <f>T("   940350")</f>
        <v xml:space="preserve">   940350</v>
      </c>
      <c r="B7719" t="str">
        <f>T("   Meubles pour chambres à coucher, en bois (sauf sièges)")</f>
        <v xml:space="preserve">   Meubles pour chambres à coucher, en bois (sauf sièges)</v>
      </c>
      <c r="C7719">
        <v>2550000</v>
      </c>
      <c r="D7719">
        <v>2650</v>
      </c>
    </row>
    <row r="7720" spans="1:4" x14ac:dyDescent="0.25">
      <c r="A7720" t="str">
        <f>T("   940510")</f>
        <v xml:space="preserve">   940510</v>
      </c>
      <c r="B7720" t="str">
        <f>T("   Lustres et autres appareils d'éclairage électrique à suspendre ou à fixer au plafond ou au mur (sauf pour l'éclairage des espaces et voies publiques)")</f>
        <v xml:space="preserve">   Lustres et autres appareils d'éclairage électrique à suspendre ou à fixer au plafond ou au mur (sauf pour l'éclairage des espaces et voies publiques)</v>
      </c>
      <c r="C7720">
        <v>12202168</v>
      </c>
      <c r="D7720">
        <v>12742</v>
      </c>
    </row>
    <row r="7721" spans="1:4" x14ac:dyDescent="0.25">
      <c r="A7721" t="str">
        <f>T("   940540")</f>
        <v xml:space="preserve">   940540</v>
      </c>
      <c r="B7721" t="str">
        <f>T("   Appareils d'éclairage électrique, n.d.a.")</f>
        <v xml:space="preserve">   Appareils d'éclairage électrique, n.d.a.</v>
      </c>
      <c r="C7721">
        <v>38130955</v>
      </c>
      <c r="D7721">
        <v>32649</v>
      </c>
    </row>
    <row r="7722" spans="1:4" x14ac:dyDescent="0.25">
      <c r="A7722" t="str">
        <f>T("   940592")</f>
        <v xml:space="preserve">   940592</v>
      </c>
      <c r="B7722" t="str">
        <f>T("   Parties en matières plastiques d'appareils d'éclairage, de lampes-réclames, d'enseignes lumineuses, de plaques indicatrices lumineuses, et simil., n.d.a.")</f>
        <v xml:space="preserve">   Parties en matières plastiques d'appareils d'éclairage, de lampes-réclames, d'enseignes lumineuses, de plaques indicatrices lumineuses, et simil., n.d.a.</v>
      </c>
      <c r="C7722">
        <v>5121080</v>
      </c>
      <c r="D7722">
        <v>5028</v>
      </c>
    </row>
    <row r="7723" spans="1:4" x14ac:dyDescent="0.25">
      <c r="A7723" t="str">
        <f>T("   940599")</f>
        <v xml:space="preserve">   940599</v>
      </c>
      <c r="B7723" t="str">
        <f>T("   Parties d'appareils d'éclairage, de lampes-réclames, d'enseignes lumineuses, de plaques indicatrices lumineuses, et simil., n.d.a.")</f>
        <v xml:space="preserve">   Parties d'appareils d'éclairage, de lampes-réclames, d'enseignes lumineuses, de plaques indicatrices lumineuses, et simil., n.d.a.</v>
      </c>
      <c r="C7723">
        <v>2857362</v>
      </c>
      <c r="D7723">
        <v>2721</v>
      </c>
    </row>
    <row r="7724" spans="1:4" x14ac:dyDescent="0.25">
      <c r="A7724" t="str">
        <f>T("   960839")</f>
        <v xml:space="preserve">   960839</v>
      </c>
      <c r="B7724" t="str">
        <f>T("   Stylos à plume et autres stylos (autres qu'à dessiner à l'encre de Chine)")</f>
        <v xml:space="preserve">   Stylos à plume et autres stylos (autres qu'à dessiner à l'encre de Chine)</v>
      </c>
      <c r="C7724">
        <v>86863</v>
      </c>
      <c r="D7724">
        <v>269</v>
      </c>
    </row>
    <row r="7725" spans="1:4" x14ac:dyDescent="0.25">
      <c r="A7725" t="str">
        <f>T("MC")</f>
        <v>MC</v>
      </c>
      <c r="B7725" t="str">
        <f>T("Monaco")</f>
        <v>Monaco</v>
      </c>
    </row>
    <row r="7726" spans="1:4" x14ac:dyDescent="0.25">
      <c r="A7726" t="str">
        <f>T("   ZZ_Total_Produit_SH6")</f>
        <v xml:space="preserve">   ZZ_Total_Produit_SH6</v>
      </c>
      <c r="B7726" t="str">
        <f>T("   ZZ_Total_Produit_SH6")</f>
        <v xml:space="preserve">   ZZ_Total_Produit_SH6</v>
      </c>
      <c r="C7726">
        <v>41004568</v>
      </c>
      <c r="D7726">
        <v>27824</v>
      </c>
    </row>
    <row r="7727" spans="1:4" x14ac:dyDescent="0.25">
      <c r="A7727" t="str">
        <f>T("   490700")</f>
        <v xml:space="preserve">   490700</v>
      </c>
      <c r="B7727" t="s">
        <v>220</v>
      </c>
      <c r="C7727">
        <v>16480399</v>
      </c>
      <c r="D7727">
        <v>974</v>
      </c>
    </row>
    <row r="7728" spans="1:4" x14ac:dyDescent="0.25">
      <c r="A7728" t="str">
        <f>T("   690890")</f>
        <v xml:space="preserve">   690890</v>
      </c>
      <c r="B7728" t="s">
        <v>311</v>
      </c>
      <c r="C7728">
        <v>3076019</v>
      </c>
      <c r="D7728">
        <v>26000</v>
      </c>
    </row>
    <row r="7729" spans="1:4" x14ac:dyDescent="0.25">
      <c r="A7729" t="str">
        <f>T("   870323")</f>
        <v xml:space="preserve">   870323</v>
      </c>
      <c r="B7729" t="s">
        <v>476</v>
      </c>
      <c r="C7729">
        <v>21448150</v>
      </c>
      <c r="D7729">
        <v>850</v>
      </c>
    </row>
    <row r="7730" spans="1:4" x14ac:dyDescent="0.25">
      <c r="A7730" t="str">
        <f>T("MG")</f>
        <v>MG</v>
      </c>
      <c r="B7730" t="str">
        <f>T("Madagascar")</f>
        <v>Madagascar</v>
      </c>
    </row>
    <row r="7731" spans="1:4" x14ac:dyDescent="0.25">
      <c r="A7731" t="str">
        <f>T("   ZZ_Total_Produit_SH6")</f>
        <v xml:space="preserve">   ZZ_Total_Produit_SH6</v>
      </c>
      <c r="B7731" t="str">
        <f>T("   ZZ_Total_Produit_SH6")</f>
        <v xml:space="preserve">   ZZ_Total_Produit_SH6</v>
      </c>
      <c r="C7731">
        <v>59093100</v>
      </c>
      <c r="D7731">
        <v>192032</v>
      </c>
    </row>
    <row r="7732" spans="1:4" x14ac:dyDescent="0.25">
      <c r="A7732" t="str">
        <f>T("   220429")</f>
        <v xml:space="preserve">   220429</v>
      </c>
      <c r="B7732" t="str">
        <f>T("   VINS DE RAISINS FRAIS, Y.C. LES VINS ENRICHIS EN ALCOOL, ET MOÛTS DE RAISINS DONT LA FERMENTATION A ÉTÉ EMPÊCHÉE OU ARRÊTÉE PAR ADDITION D'ALCOOL, EN RÉCIPIENTS D'UNE CONTENANCE &gt; 2 L (À L'EXCL. DES VINS MOUSSEUX)")</f>
        <v xml:space="preserve">   VINS DE RAISINS FRAIS, Y.C. LES VINS ENRICHIS EN ALCOOL, ET MOÛTS DE RAISINS DONT LA FERMENTATION A ÉTÉ EMPÊCHÉE OU ARRÊTÉE PAR ADDITION D'ALCOOL, EN RÉCIPIENTS D'UNE CONTENANCE &gt; 2 L (À L'EXCL. DES VINS MOUSSEUX)</v>
      </c>
      <c r="C7732">
        <v>3663167</v>
      </c>
      <c r="D7732">
        <v>19942</v>
      </c>
    </row>
    <row r="7733" spans="1:4" x14ac:dyDescent="0.25">
      <c r="A7733" t="str">
        <f>T("   220710")</f>
        <v xml:space="preserve">   220710</v>
      </c>
      <c r="B7733" t="str">
        <f>T("   Alcool éthylique non dénaturé d'un titre alcoométrique volumique &gt;= 80% vol")</f>
        <v xml:space="preserve">   Alcool éthylique non dénaturé d'un titre alcoométrique volumique &gt;= 80% vol</v>
      </c>
      <c r="C7733">
        <v>52589625</v>
      </c>
      <c r="D7733">
        <v>169011</v>
      </c>
    </row>
    <row r="7734" spans="1:4" x14ac:dyDescent="0.25">
      <c r="A7734" t="str">
        <f>T("   490199")</f>
        <v xml:space="preserve">   490199</v>
      </c>
      <c r="B7734"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7734">
        <v>110857</v>
      </c>
      <c r="D7734">
        <v>750</v>
      </c>
    </row>
    <row r="7735" spans="1:4" x14ac:dyDescent="0.25">
      <c r="A7735" t="str">
        <f>T("   621040")</f>
        <v xml:space="preserve">   621040</v>
      </c>
      <c r="B7735" t="s">
        <v>272</v>
      </c>
      <c r="C7735">
        <v>349627</v>
      </c>
      <c r="D7735">
        <v>227</v>
      </c>
    </row>
    <row r="7736" spans="1:4" x14ac:dyDescent="0.25">
      <c r="A7736" t="str">
        <f>T("   847180")</f>
        <v xml:space="preserve">   847180</v>
      </c>
      <c r="B7736" t="str">
        <f>T("   Unités de machines automatiques de traitement de l'information, numériques (à l'excl. des unités de traitement, unités d'entrée ou de sortie et unités de mémoire)")</f>
        <v xml:space="preserve">   Unités de machines automatiques de traitement de l'information, numériques (à l'excl. des unités de traitement, unités d'entrée ou de sortie et unités de mémoire)</v>
      </c>
      <c r="C7736">
        <v>131192</v>
      </c>
      <c r="D7736">
        <v>200</v>
      </c>
    </row>
    <row r="7737" spans="1:4" x14ac:dyDescent="0.25">
      <c r="A7737" t="str">
        <f>T("   850440")</f>
        <v xml:space="preserve">   850440</v>
      </c>
      <c r="B7737" t="str">
        <f>T("   CONVERTISSEURS STATIQUES")</f>
        <v xml:space="preserve">   CONVERTISSEURS STATIQUES</v>
      </c>
      <c r="C7737">
        <v>182357</v>
      </c>
      <c r="D7737">
        <v>64</v>
      </c>
    </row>
    <row r="7738" spans="1:4" x14ac:dyDescent="0.25">
      <c r="A7738" t="str">
        <f>T("   852812")</f>
        <v xml:space="preserve">   852812</v>
      </c>
      <c r="B7738"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7738">
        <v>65596</v>
      </c>
      <c r="D7738">
        <v>250</v>
      </c>
    </row>
    <row r="7739" spans="1:4" x14ac:dyDescent="0.25">
      <c r="A7739" t="str">
        <f>T("   871120")</f>
        <v xml:space="preserve">   871120</v>
      </c>
      <c r="B7739" t="str">
        <f>T("   Motocycles à moteur à piston alternatif, cylindrée &gt; 50 cm³ mais &lt;= 250 cm³")</f>
        <v xml:space="preserve">   Motocycles à moteur à piston alternatif, cylindrée &gt; 50 cm³ mais &lt;= 250 cm³</v>
      </c>
      <c r="C7739">
        <v>655960</v>
      </c>
      <c r="D7739">
        <v>232</v>
      </c>
    </row>
    <row r="7740" spans="1:4" x14ac:dyDescent="0.25">
      <c r="A7740" t="str">
        <f>T("   871200")</f>
        <v xml:space="preserve">   871200</v>
      </c>
      <c r="B7740" t="str">
        <f>T("   BICYCLETTES ET AUTRES CYCLES, -Y.C. LES TRIPORTEURS-, SANS MOTEUR")</f>
        <v xml:space="preserve">   BICYCLETTES ET AUTRES CYCLES, -Y.C. LES TRIPORTEURS-, SANS MOTEUR</v>
      </c>
      <c r="C7740">
        <v>20335</v>
      </c>
      <c r="D7740">
        <v>5</v>
      </c>
    </row>
    <row r="7741" spans="1:4" x14ac:dyDescent="0.25">
      <c r="A7741" t="str">
        <f>T("   900510")</f>
        <v xml:space="preserve">   900510</v>
      </c>
      <c r="B7741" t="str">
        <f>T("   Jumelles")</f>
        <v xml:space="preserve">   Jumelles</v>
      </c>
      <c r="C7741">
        <v>400792</v>
      </c>
      <c r="D7741">
        <v>142</v>
      </c>
    </row>
    <row r="7742" spans="1:4" x14ac:dyDescent="0.25">
      <c r="A7742" t="str">
        <f>T("   920290")</f>
        <v xml:space="preserve">   920290</v>
      </c>
      <c r="B7742" t="str">
        <f>T("   Guitares, harpes et autres instruments de musique à cordes (autres qu'à clavier et à cordes frottées)")</f>
        <v xml:space="preserve">   Guitares, harpes et autres instruments de musique à cordes (autres qu'à clavier et à cordes frottées)</v>
      </c>
      <c r="C7742">
        <v>65596</v>
      </c>
      <c r="D7742">
        <v>45</v>
      </c>
    </row>
    <row r="7743" spans="1:4" x14ac:dyDescent="0.25">
      <c r="A7743" t="str">
        <f>T("   940380")</f>
        <v xml:space="preserve">   940380</v>
      </c>
      <c r="B7743" t="str">
        <f>T("   Meubles en rotin, osier, bambou ou autres matières (sauf métal, bois et matières plastiques)")</f>
        <v xml:space="preserve">   Meubles en rotin, osier, bambou ou autres matières (sauf métal, bois et matières plastiques)</v>
      </c>
      <c r="C7743">
        <v>544447</v>
      </c>
      <c r="D7743">
        <v>1000</v>
      </c>
    </row>
    <row r="7744" spans="1:4" x14ac:dyDescent="0.25">
      <c r="A7744" t="str">
        <f>T("   960810")</f>
        <v xml:space="preserve">   960810</v>
      </c>
      <c r="B7744" t="str">
        <f>T("   Stylos et crayons à bille")</f>
        <v xml:space="preserve">   Stylos et crayons à bille</v>
      </c>
      <c r="C7744">
        <v>182357</v>
      </c>
      <c r="D7744">
        <v>64</v>
      </c>
    </row>
    <row r="7745" spans="1:4" x14ac:dyDescent="0.25">
      <c r="A7745" t="str">
        <f>T("   970110")</f>
        <v xml:space="preserve">   970110</v>
      </c>
      <c r="B7745" t="str">
        <f>T("   Tableaux, p.ex. peintures à l'huile, aquarelles et pastels, et dessins, faits entièrement à la main (à l'excl. des dessins du n° 4906 et des articles manufacturés décorés à la main)")</f>
        <v xml:space="preserve">   Tableaux, p.ex. peintures à l'huile, aquarelles et pastels, et dessins, faits entièrement à la main (à l'excl. des dessins du n° 4906 et des articles manufacturés décorés à la main)</v>
      </c>
      <c r="C7745">
        <v>131192</v>
      </c>
      <c r="D7745">
        <v>100</v>
      </c>
    </row>
    <row r="7746" spans="1:4" x14ac:dyDescent="0.25">
      <c r="A7746" t="str">
        <f>T("MH")</f>
        <v>MH</v>
      </c>
      <c r="B7746" t="str">
        <f>T("Marshall, îles")</f>
        <v>Marshall, îles</v>
      </c>
    </row>
    <row r="7747" spans="1:4" x14ac:dyDescent="0.25">
      <c r="A7747" t="str">
        <f>T("   ZZ_Total_Produit_SH6")</f>
        <v xml:space="preserve">   ZZ_Total_Produit_SH6</v>
      </c>
      <c r="B7747" t="str">
        <f>T("   ZZ_Total_Produit_SH6")</f>
        <v xml:space="preserve">   ZZ_Total_Produit_SH6</v>
      </c>
      <c r="C7747">
        <v>3950000</v>
      </c>
      <c r="D7747">
        <v>12789</v>
      </c>
    </row>
    <row r="7748" spans="1:4" x14ac:dyDescent="0.25">
      <c r="A7748" t="str">
        <f>T("   170490")</f>
        <v xml:space="preserve">   170490</v>
      </c>
      <c r="B7748" t="str">
        <f>T("   Sucreries sans cacao, y.c. le chocolat blanc (à l'excl. des gommes à mâcher)")</f>
        <v xml:space="preserve">   Sucreries sans cacao, y.c. le chocolat blanc (à l'excl. des gommes à mâcher)</v>
      </c>
      <c r="C7748">
        <v>3950000</v>
      </c>
      <c r="D7748">
        <v>12789</v>
      </c>
    </row>
    <row r="7749" spans="1:4" x14ac:dyDescent="0.25">
      <c r="A7749" t="str">
        <f>T("ML")</f>
        <v>ML</v>
      </c>
      <c r="B7749" t="str">
        <f>T("Mali")</f>
        <v>Mali</v>
      </c>
    </row>
    <row r="7750" spans="1:4" x14ac:dyDescent="0.25">
      <c r="A7750" t="str">
        <f>T("   ZZ_Total_Produit_SH6")</f>
        <v xml:space="preserve">   ZZ_Total_Produit_SH6</v>
      </c>
      <c r="B7750" t="str">
        <f>T("   ZZ_Total_Produit_SH6")</f>
        <v xml:space="preserve">   ZZ_Total_Produit_SH6</v>
      </c>
      <c r="C7750">
        <v>120155528</v>
      </c>
      <c r="D7750">
        <v>8953</v>
      </c>
    </row>
    <row r="7751" spans="1:4" x14ac:dyDescent="0.25">
      <c r="A7751" t="str">
        <f>T("   300490")</f>
        <v xml:space="preserve">   300490</v>
      </c>
      <c r="B7751" t="s">
        <v>78</v>
      </c>
      <c r="C7751">
        <v>97148773</v>
      </c>
      <c r="D7751">
        <v>4775</v>
      </c>
    </row>
    <row r="7752" spans="1:4" x14ac:dyDescent="0.25">
      <c r="A7752" t="str">
        <f>T("   853690")</f>
        <v xml:space="preserve">   853690</v>
      </c>
      <c r="B7752" t="s">
        <v>469</v>
      </c>
      <c r="C7752">
        <v>1044052</v>
      </c>
      <c r="D7752">
        <v>13</v>
      </c>
    </row>
    <row r="7753" spans="1:4" x14ac:dyDescent="0.25">
      <c r="A7753" t="str">
        <f>T("   870322")</f>
        <v xml:space="preserve">   870322</v>
      </c>
      <c r="B7753" t="s">
        <v>475</v>
      </c>
      <c r="C7753">
        <v>1200000</v>
      </c>
      <c r="D7753">
        <v>890</v>
      </c>
    </row>
    <row r="7754" spans="1:4" x14ac:dyDescent="0.25">
      <c r="A7754" t="str">
        <f>T("   870323")</f>
        <v xml:space="preserve">   870323</v>
      </c>
      <c r="B7754" t="s">
        <v>476</v>
      </c>
      <c r="C7754">
        <v>20762703</v>
      </c>
      <c r="D7754">
        <v>3275</v>
      </c>
    </row>
    <row r="7755" spans="1:4" x14ac:dyDescent="0.25">
      <c r="A7755" t="str">
        <f>T("MO")</f>
        <v>MO</v>
      </c>
      <c r="B7755" t="str">
        <f>T("Macao")</f>
        <v>Macao</v>
      </c>
    </row>
    <row r="7756" spans="1:4" x14ac:dyDescent="0.25">
      <c r="A7756" t="str">
        <f>T("   ZZ_Total_Produit_SH6")</f>
        <v xml:space="preserve">   ZZ_Total_Produit_SH6</v>
      </c>
      <c r="B7756" t="str">
        <f>T("   ZZ_Total_Produit_SH6")</f>
        <v xml:space="preserve">   ZZ_Total_Produit_SH6</v>
      </c>
      <c r="C7756">
        <v>782641</v>
      </c>
      <c r="D7756">
        <v>1</v>
      </c>
    </row>
    <row r="7757" spans="1:4" x14ac:dyDescent="0.25">
      <c r="A7757" t="str">
        <f>T("   850440")</f>
        <v xml:space="preserve">   850440</v>
      </c>
      <c r="B7757" t="str">
        <f>T("   CONVERTISSEURS STATIQUES")</f>
        <v xml:space="preserve">   CONVERTISSEURS STATIQUES</v>
      </c>
      <c r="C7757">
        <v>782641</v>
      </c>
      <c r="D7757">
        <v>1</v>
      </c>
    </row>
    <row r="7758" spans="1:4" x14ac:dyDescent="0.25">
      <c r="A7758" t="str">
        <f>T("MQ")</f>
        <v>MQ</v>
      </c>
      <c r="B7758" t="str">
        <f>T("Martinique")</f>
        <v>Martinique</v>
      </c>
    </row>
    <row r="7759" spans="1:4" x14ac:dyDescent="0.25">
      <c r="A7759" t="str">
        <f>T("   ZZ_Total_Produit_SH6")</f>
        <v xml:space="preserve">   ZZ_Total_Produit_SH6</v>
      </c>
      <c r="B7759" t="str">
        <f>T("   ZZ_Total_Produit_SH6")</f>
        <v xml:space="preserve">   ZZ_Total_Produit_SH6</v>
      </c>
      <c r="C7759">
        <v>3000000</v>
      </c>
      <c r="D7759">
        <v>2000</v>
      </c>
    </row>
    <row r="7760" spans="1:4" x14ac:dyDescent="0.25">
      <c r="A7760" t="str">
        <f>T("   620590")</f>
        <v xml:space="preserve">   620590</v>
      </c>
      <c r="B7760"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7760">
        <v>900000</v>
      </c>
      <c r="D7760">
        <v>600</v>
      </c>
    </row>
    <row r="7761" spans="1:4" x14ac:dyDescent="0.25">
      <c r="A7761" t="str">
        <f>T("   732394")</f>
        <v xml:space="preserve">   732394</v>
      </c>
      <c r="B7761" t="s">
        <v>361</v>
      </c>
      <c r="C7761">
        <v>600000</v>
      </c>
      <c r="D7761">
        <v>200</v>
      </c>
    </row>
    <row r="7762" spans="1:4" x14ac:dyDescent="0.25">
      <c r="A7762" t="str">
        <f>T("   940350")</f>
        <v xml:space="preserve">   940350</v>
      </c>
      <c r="B7762" t="str">
        <f>T("   Meubles pour chambres à coucher, en bois (sauf sièges)")</f>
        <v xml:space="preserve">   Meubles pour chambres à coucher, en bois (sauf sièges)</v>
      </c>
      <c r="C7762">
        <v>1500000</v>
      </c>
      <c r="D7762">
        <v>1200</v>
      </c>
    </row>
    <row r="7763" spans="1:4" x14ac:dyDescent="0.25">
      <c r="A7763" t="str">
        <f>T("MR")</f>
        <v>MR</v>
      </c>
      <c r="B7763" t="str">
        <f>T("Mauritanie")</f>
        <v>Mauritanie</v>
      </c>
    </row>
    <row r="7764" spans="1:4" x14ac:dyDescent="0.25">
      <c r="A7764" t="str">
        <f>T("   ZZ_Total_Produit_SH6")</f>
        <v xml:space="preserve">   ZZ_Total_Produit_SH6</v>
      </c>
      <c r="B7764" t="str">
        <f>T("   ZZ_Total_Produit_SH6")</f>
        <v xml:space="preserve">   ZZ_Total_Produit_SH6</v>
      </c>
      <c r="C7764">
        <v>3486285889</v>
      </c>
      <c r="D7764">
        <v>15437844</v>
      </c>
    </row>
    <row r="7765" spans="1:4" x14ac:dyDescent="0.25">
      <c r="A7765" t="str">
        <f>T("   030329")</f>
        <v xml:space="preserve">   030329</v>
      </c>
      <c r="B7765" t="str">
        <f>T("   Salmonidés, congelés (à l'excl. des saumons du Pacifique, de l'Atlantique et du Danube ainsi que des truites)")</f>
        <v xml:space="preserve">   Salmonidés, congelés (à l'excl. des saumons du Pacifique, de l'Atlantique et du Danube ainsi que des truites)</v>
      </c>
      <c r="C7765">
        <v>202249523</v>
      </c>
      <c r="D7765">
        <v>898884</v>
      </c>
    </row>
    <row r="7766" spans="1:4" x14ac:dyDescent="0.25">
      <c r="A7766" t="str">
        <f>T("   030371")</f>
        <v xml:space="preserve">   030371</v>
      </c>
      <c r="B7766" t="str">
        <f>T("   Sardines [Sardina pilchardus, Sardinops spp.], sardinelles [Sardinella spp.], sprats ou esprots [Sprattus sprattus], congelés")</f>
        <v xml:space="preserve">   Sardines [Sardina pilchardus, Sardinops spp.], sardinelles [Sardinella spp.], sprats ou esprots [Sprattus sprattus], congelés</v>
      </c>
      <c r="C7766">
        <v>31500511</v>
      </c>
      <c r="D7766">
        <v>140000</v>
      </c>
    </row>
    <row r="7767" spans="1:4" x14ac:dyDescent="0.25">
      <c r="A7767" t="str">
        <f>T("   030379")</f>
        <v xml:space="preserve">   030379</v>
      </c>
      <c r="B7767" t="s">
        <v>15</v>
      </c>
      <c r="C7767">
        <v>3238819750</v>
      </c>
      <c r="D7767">
        <v>14394920</v>
      </c>
    </row>
    <row r="7768" spans="1:4" x14ac:dyDescent="0.25">
      <c r="A7768" t="str">
        <f>T("   490199")</f>
        <v xml:space="preserve">   490199</v>
      </c>
      <c r="B7768"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7768">
        <v>875051</v>
      </c>
      <c r="D7768">
        <v>880</v>
      </c>
    </row>
    <row r="7769" spans="1:4" x14ac:dyDescent="0.25">
      <c r="A7769" t="str">
        <f>T("   621040")</f>
        <v xml:space="preserve">   621040</v>
      </c>
      <c r="B7769" t="s">
        <v>272</v>
      </c>
      <c r="C7769">
        <v>2019045</v>
      </c>
      <c r="D7769">
        <v>2031</v>
      </c>
    </row>
    <row r="7770" spans="1:4" x14ac:dyDescent="0.25">
      <c r="A7770" t="str">
        <f>T("   640299")</f>
        <v xml:space="preserve">   640299</v>
      </c>
      <c r="B7770" t="s">
        <v>285</v>
      </c>
      <c r="C7770">
        <v>62972</v>
      </c>
      <c r="D7770">
        <v>63</v>
      </c>
    </row>
    <row r="7771" spans="1:4" x14ac:dyDescent="0.25">
      <c r="A7771" t="str">
        <f>T("   732394")</f>
        <v xml:space="preserve">   732394</v>
      </c>
      <c r="B7771" t="s">
        <v>361</v>
      </c>
      <c r="C7771">
        <v>78715</v>
      </c>
      <c r="D7771">
        <v>79</v>
      </c>
    </row>
    <row r="7772" spans="1:4" x14ac:dyDescent="0.25">
      <c r="A7772" t="str">
        <f>T("   841829")</f>
        <v xml:space="preserve">   841829</v>
      </c>
      <c r="B7772" t="str">
        <f>T("   Réfrigérateurs ménagers à absorption, non-électriques")</f>
        <v xml:space="preserve">   Réfrigérateurs ménagers à absorption, non-électriques</v>
      </c>
      <c r="C7772">
        <v>249265</v>
      </c>
      <c r="D7772">
        <v>250</v>
      </c>
    </row>
    <row r="7773" spans="1:4" x14ac:dyDescent="0.25">
      <c r="A7773" t="str">
        <f>T("   847190")</f>
        <v xml:space="preserve">   847190</v>
      </c>
      <c r="B7773"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7773">
        <v>9736395</v>
      </c>
      <c r="D7773">
        <v>40</v>
      </c>
    </row>
    <row r="7774" spans="1:4" x14ac:dyDescent="0.25">
      <c r="A7774" t="str">
        <f>T("   852812")</f>
        <v xml:space="preserve">   852812</v>
      </c>
      <c r="B7774"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7774">
        <v>145623</v>
      </c>
      <c r="D7774">
        <v>146</v>
      </c>
    </row>
    <row r="7775" spans="1:4" x14ac:dyDescent="0.25">
      <c r="A7775" t="str">
        <f>T("   871200")</f>
        <v xml:space="preserve">   871200</v>
      </c>
      <c r="B7775" t="str">
        <f>T("   BICYCLETTES ET AUTRES CYCLES, -Y.C. LES TRIPORTEURS-, SANS MOTEUR")</f>
        <v xml:space="preserve">   BICYCLETTES ET AUTRES CYCLES, -Y.C. LES TRIPORTEURS-, SANS MOTEUR</v>
      </c>
      <c r="C7775">
        <v>41982</v>
      </c>
      <c r="D7775">
        <v>42</v>
      </c>
    </row>
    <row r="7776" spans="1:4" x14ac:dyDescent="0.25">
      <c r="A7776" t="str">
        <f>T("   940380")</f>
        <v xml:space="preserve">   940380</v>
      </c>
      <c r="B7776" t="str">
        <f>T("   Meubles en rotin, osier, bambou ou autres matières (sauf métal, bois et matières plastiques)")</f>
        <v xml:space="preserve">   Meubles en rotin, osier, bambou ou autres matières (sauf métal, bois et matières plastiques)</v>
      </c>
      <c r="C7776">
        <v>364714</v>
      </c>
      <c r="D7776">
        <v>367</v>
      </c>
    </row>
    <row r="7777" spans="1:4" x14ac:dyDescent="0.25">
      <c r="A7777" t="str">
        <f>T("   940429")</f>
        <v xml:space="preserve">   940429</v>
      </c>
      <c r="B7777" t="str">
        <f>T("   Matelas à ressorts ou rembourrés, ou garnis intérieurement de matières autres que le caoutchouc alvéolaire ou les matières plastiques alvéolaires (sauf matelas à eau, matelas pneumatiques et oreillers)")</f>
        <v xml:space="preserve">   Matelas à ressorts ou rembourrés, ou garnis intérieurement de matières autres que le caoutchouc alvéolaire ou les matières plastiques alvéolaires (sauf matelas à eau, matelas pneumatiques et oreillers)</v>
      </c>
      <c r="C7777">
        <v>79371</v>
      </c>
      <c r="D7777">
        <v>79</v>
      </c>
    </row>
    <row r="7778" spans="1:4" x14ac:dyDescent="0.25">
      <c r="A7778" t="str">
        <f>T("   950699")</f>
        <v xml:space="preserve">   950699</v>
      </c>
      <c r="B7778" t="str">
        <f>T("   Articles et matériel pour le sport et les jeux de plein air, n.d.a.; piscines et pataugeoires")</f>
        <v xml:space="preserve">   Articles et matériel pour le sport et les jeux de plein air, n.d.a.; piscines et pataugeoires</v>
      </c>
      <c r="C7778">
        <v>62972</v>
      </c>
      <c r="D7778">
        <v>63</v>
      </c>
    </row>
    <row r="7779" spans="1:4" x14ac:dyDescent="0.25">
      <c r="A7779" t="str">
        <f>T("MS")</f>
        <v>MS</v>
      </c>
      <c r="B7779" t="str">
        <f>T("Montserrat")</f>
        <v>Montserrat</v>
      </c>
    </row>
    <row r="7780" spans="1:4" x14ac:dyDescent="0.25">
      <c r="A7780" t="str">
        <f>T("   ZZ_Total_Produit_SH6")</f>
        <v xml:space="preserve">   ZZ_Total_Produit_SH6</v>
      </c>
      <c r="B7780" t="str">
        <f>T("   ZZ_Total_Produit_SH6")</f>
        <v xml:space="preserve">   ZZ_Total_Produit_SH6</v>
      </c>
      <c r="C7780">
        <v>7647000</v>
      </c>
      <c r="D7780">
        <v>14000</v>
      </c>
    </row>
    <row r="7781" spans="1:4" x14ac:dyDescent="0.25">
      <c r="A7781" t="str">
        <f>T("   420229")</f>
        <v xml:space="preserve">   420229</v>
      </c>
      <c r="B7781" t="str">
        <f>T("   Sacs à main, même à bandoulière, y.c. ceux sans poignée, à surface extérieure en fibre vulcanisée ou en carton, ou recouverts, en totalité ou en majeure partie, de ces mêmes matières ou de papier")</f>
        <v xml:space="preserve">   Sacs à main, même à bandoulière, y.c. ceux sans poignée, à surface extérieure en fibre vulcanisée ou en carton, ou recouverts, en totalité ou en majeure partie, de ces mêmes matières ou de papier</v>
      </c>
      <c r="C7781">
        <v>7647000</v>
      </c>
      <c r="D7781">
        <v>14000</v>
      </c>
    </row>
    <row r="7782" spans="1:4" x14ac:dyDescent="0.25">
      <c r="A7782" t="str">
        <f>T("MT")</f>
        <v>MT</v>
      </c>
      <c r="B7782" t="str">
        <f>T("Malte")</f>
        <v>Malte</v>
      </c>
    </row>
    <row r="7783" spans="1:4" x14ac:dyDescent="0.25">
      <c r="A7783" t="str">
        <f>T("   ZZ_Total_Produit_SH6")</f>
        <v xml:space="preserve">   ZZ_Total_Produit_SH6</v>
      </c>
      <c r="B7783" t="str">
        <f>T("   ZZ_Total_Produit_SH6")</f>
        <v xml:space="preserve">   ZZ_Total_Produit_SH6</v>
      </c>
      <c r="C7783">
        <v>24141952</v>
      </c>
      <c r="D7783">
        <v>2767</v>
      </c>
    </row>
    <row r="7784" spans="1:4" x14ac:dyDescent="0.25">
      <c r="A7784" t="str">
        <f>T("   490900")</f>
        <v xml:space="preserve">   490900</v>
      </c>
      <c r="B7784" t="str">
        <f>T("   Cartes postales imprimées ou illustrées; cartes imprimées comportant des voeux ou des messages personnels, même illustrées, avec ou sans enveloppes, garnitures ou applications")</f>
        <v xml:space="preserve">   Cartes postales imprimées ou illustrées; cartes imprimées comportant des voeux ou des messages personnels, même illustrées, avec ou sans enveloppes, garnitures ou applications</v>
      </c>
      <c r="C7784">
        <v>24141952</v>
      </c>
      <c r="D7784">
        <v>2767</v>
      </c>
    </row>
    <row r="7785" spans="1:4" x14ac:dyDescent="0.25">
      <c r="A7785" t="str">
        <f>T("MU")</f>
        <v>MU</v>
      </c>
      <c r="B7785" t="str">
        <f>T("Maurice, île")</f>
        <v>Maurice, île</v>
      </c>
    </row>
    <row r="7786" spans="1:4" x14ac:dyDescent="0.25">
      <c r="A7786" t="str">
        <f>T("   ZZ_Total_Produit_SH6")</f>
        <v xml:space="preserve">   ZZ_Total_Produit_SH6</v>
      </c>
      <c r="B7786" t="str">
        <f>T("   ZZ_Total_Produit_SH6")</f>
        <v xml:space="preserve">   ZZ_Total_Produit_SH6</v>
      </c>
      <c r="C7786">
        <v>51203424</v>
      </c>
      <c r="D7786">
        <v>184880</v>
      </c>
    </row>
    <row r="7787" spans="1:4" x14ac:dyDescent="0.25">
      <c r="A7787" t="str">
        <f>T("   200540")</f>
        <v xml:space="preserve">   200540</v>
      </c>
      <c r="B7787" t="str">
        <f>T("   Pois [Pisum sativum], préparés ou conservés autrement qu'au vinaigre ou à l'acide acétique, non congelés")</f>
        <v xml:space="preserve">   Pois [Pisum sativum], préparés ou conservés autrement qu'au vinaigre ou à l'acide acétique, non congelés</v>
      </c>
      <c r="C7787">
        <v>12856160</v>
      </c>
      <c r="D7787">
        <v>51359</v>
      </c>
    </row>
    <row r="7788" spans="1:4" x14ac:dyDescent="0.25">
      <c r="A7788" t="str">
        <f>T("   200559")</f>
        <v xml:space="preserve">   200559</v>
      </c>
      <c r="B7788" t="str">
        <f>T("   Haricots [Vigna spp., Phaseolus spp.], préparés ou conservés autrement qu'au vinaigre ou à l'acide acétique, non congelés (à l'excl. des haricots en grains)")</f>
        <v xml:space="preserve">   Haricots [Vigna spp., Phaseolus spp.], préparés ou conservés autrement qu'au vinaigre ou à l'acide acétique, non congelés (à l'excl. des haricots en grains)</v>
      </c>
      <c r="C7788">
        <v>3805224</v>
      </c>
      <c r="D7788">
        <v>16801</v>
      </c>
    </row>
    <row r="7789" spans="1:4" x14ac:dyDescent="0.25">
      <c r="A7789" t="str">
        <f>T("   220300")</f>
        <v xml:space="preserve">   220300</v>
      </c>
      <c r="B7789" t="str">
        <f>T("   Bières de malt")</f>
        <v xml:space="preserve">   Bières de malt</v>
      </c>
      <c r="C7789">
        <v>34405600</v>
      </c>
      <c r="D7789">
        <v>116501</v>
      </c>
    </row>
    <row r="7790" spans="1:4" x14ac:dyDescent="0.25">
      <c r="A7790" t="str">
        <f>T("   300490")</f>
        <v xml:space="preserve">   300490</v>
      </c>
      <c r="B7790" t="s">
        <v>78</v>
      </c>
      <c r="C7790">
        <v>136440</v>
      </c>
      <c r="D7790">
        <v>219</v>
      </c>
    </row>
    <row r="7791" spans="1:4" x14ac:dyDescent="0.25">
      <c r="A7791" t="str">
        <f>T("MX")</f>
        <v>MX</v>
      </c>
      <c r="B7791" t="str">
        <f>T("Mexique")</f>
        <v>Mexique</v>
      </c>
    </row>
    <row r="7792" spans="1:4" x14ac:dyDescent="0.25">
      <c r="A7792" t="str">
        <f>T("   ZZ_Total_Produit_SH6")</f>
        <v xml:space="preserve">   ZZ_Total_Produit_SH6</v>
      </c>
      <c r="B7792" t="str">
        <f>T("   ZZ_Total_Produit_SH6")</f>
        <v xml:space="preserve">   ZZ_Total_Produit_SH6</v>
      </c>
      <c r="C7792">
        <v>182071446</v>
      </c>
      <c r="D7792">
        <v>235190</v>
      </c>
    </row>
    <row r="7793" spans="1:4" x14ac:dyDescent="0.25">
      <c r="A7793" t="str">
        <f>T("   020712")</f>
        <v xml:space="preserve">   020712</v>
      </c>
      <c r="B7793" t="str">
        <f>T("   COQS ET POULES [DES ESPÈCES DOMESTIQUES], NON-DÉCOUPÉS EN MORCEAUX, CONGELÉS")</f>
        <v xml:space="preserve">   COQS ET POULES [DES ESPÈCES DOMESTIQUES], NON-DÉCOUPÉS EN MORCEAUX, CONGELÉS</v>
      </c>
      <c r="C7793">
        <v>43732847</v>
      </c>
      <c r="D7793">
        <v>70310</v>
      </c>
    </row>
    <row r="7794" spans="1:4" x14ac:dyDescent="0.25">
      <c r="A7794" t="str">
        <f>T("   020714")</f>
        <v xml:space="preserve">   020714</v>
      </c>
      <c r="B7794" t="str">
        <f>T("   Morceaux et abats comestibles de coqs et de poules [des espèces domestiques], congelés")</f>
        <v xml:space="preserve">   Morceaux et abats comestibles de coqs et de poules [des espèces domestiques], congelés</v>
      </c>
      <c r="C7794">
        <v>88324040</v>
      </c>
      <c r="D7794">
        <v>142000</v>
      </c>
    </row>
    <row r="7795" spans="1:4" x14ac:dyDescent="0.25">
      <c r="A7795" t="str">
        <f>T("   392390")</f>
        <v xml:space="preserve">   392390</v>
      </c>
      <c r="B7795" t="s">
        <v>144</v>
      </c>
      <c r="C7795">
        <v>36426770</v>
      </c>
      <c r="D7795">
        <v>16514</v>
      </c>
    </row>
    <row r="7796" spans="1:4" x14ac:dyDescent="0.25">
      <c r="A7796" t="str">
        <f>T("   841810")</f>
        <v xml:space="preserve">   841810</v>
      </c>
      <c r="B7796" t="str">
        <f>T("   Réfrigérateurs et congélateurs-conservateurs combinés, avec portes extérieures séparées")</f>
        <v xml:space="preserve">   Réfrigérateurs et congélateurs-conservateurs combinés, avec portes extérieures séparées</v>
      </c>
      <c r="C7796">
        <v>13587789</v>
      </c>
      <c r="D7796">
        <v>6366</v>
      </c>
    </row>
    <row r="7797" spans="1:4" x14ac:dyDescent="0.25">
      <c r="A7797" t="str">
        <f>T("MY")</f>
        <v>MY</v>
      </c>
      <c r="B7797" t="str">
        <f>T("Malaisie")</f>
        <v>Malaisie</v>
      </c>
    </row>
    <row r="7798" spans="1:4" x14ac:dyDescent="0.25">
      <c r="A7798" t="str">
        <f>T("   ZZ_Total_Produit_SH6")</f>
        <v xml:space="preserve">   ZZ_Total_Produit_SH6</v>
      </c>
      <c r="B7798" t="str">
        <f>T("   ZZ_Total_Produit_SH6")</f>
        <v xml:space="preserve">   ZZ_Total_Produit_SH6</v>
      </c>
      <c r="C7798">
        <v>31143068700.966</v>
      </c>
      <c r="D7798">
        <v>90616826</v>
      </c>
    </row>
    <row r="7799" spans="1:4" x14ac:dyDescent="0.25">
      <c r="A7799" t="str">
        <f>T("   030374")</f>
        <v xml:space="preserve">   030374</v>
      </c>
      <c r="B7799" t="str">
        <f>T("   Maquereaux [Scomber scombrus, Scomber australasicus, Scomber japonicus], congelés")</f>
        <v xml:space="preserve">   Maquereaux [Scomber scombrus, Scomber australasicus, Scomber japonicus], congelés</v>
      </c>
      <c r="C7799">
        <v>6232500</v>
      </c>
      <c r="D7799">
        <v>27700</v>
      </c>
    </row>
    <row r="7800" spans="1:4" x14ac:dyDescent="0.25">
      <c r="A7800" t="str">
        <f>T("   040210")</f>
        <v xml:space="preserve">   040210</v>
      </c>
      <c r="B7800" t="str">
        <f>T("   Lait et crème de lait, en poudre, en granulés ou sous d'autres formes solides, d'une teneur en poids de matières grasses &lt;= 1,5%")</f>
        <v xml:space="preserve">   Lait et crème de lait, en poudre, en granulés ou sous d'autres formes solides, d'une teneur en poids de matières grasses &lt;= 1,5%</v>
      </c>
      <c r="C7800">
        <v>312210041</v>
      </c>
      <c r="D7800">
        <v>191350</v>
      </c>
    </row>
    <row r="7801" spans="1:4" x14ac:dyDescent="0.25">
      <c r="A7801" t="str">
        <f>T("   040221")</f>
        <v xml:space="preserve">   040221</v>
      </c>
      <c r="B7801" t="str">
        <f>T("   Lait et crème de lait, en poudre, en granulés ou sous d'autres formes solides, d'une teneur en poids de matières grasses &gt; 1,5%, sans addition de sucre ou d'autres édulcorants")</f>
        <v xml:space="preserve">   Lait et crème de lait, en poudre, en granulés ou sous d'autres formes solides, d'une teneur en poids de matières grasses &gt; 1,5%, sans addition de sucre ou d'autres édulcorants</v>
      </c>
      <c r="C7801">
        <v>198260860</v>
      </c>
      <c r="D7801">
        <v>100496</v>
      </c>
    </row>
    <row r="7802" spans="1:4" x14ac:dyDescent="0.25">
      <c r="A7802" t="str">
        <f>T("   040229")</f>
        <v xml:space="preserve">   040229</v>
      </c>
      <c r="B7802" t="str">
        <f>T("   Lait et crème de lait, en poudre, en granulés ou sous d'autres formes solides, d'une teneur en poids de matières grasses &gt; 1,5%, avec addition de sucre ou d'autres édulcorants")</f>
        <v xml:space="preserve">   Lait et crème de lait, en poudre, en granulés ou sous d'autres formes solides, d'une teneur en poids de matières grasses &gt; 1,5%, avec addition de sucre ou d'autres édulcorants</v>
      </c>
      <c r="C7802">
        <v>81647230</v>
      </c>
      <c r="D7802">
        <v>42930</v>
      </c>
    </row>
    <row r="7803" spans="1:4" x14ac:dyDescent="0.25">
      <c r="A7803" t="str">
        <f>T("   040291")</f>
        <v xml:space="preserve">   040291</v>
      </c>
      <c r="B7803" t="str">
        <f>T("   Lait et crème de lait, concentrés, sans addition de sucre ou d'autres édulcorants (à l'excl. des laits et crèmes de lait en poudre, en granulés ou sous d'autres formes solides)")</f>
        <v xml:space="preserve">   Lait et crème de lait, concentrés, sans addition de sucre ou d'autres édulcorants (à l'excl. des laits et crèmes de lait en poudre, en granulés ou sous d'autres formes solides)</v>
      </c>
      <c r="C7803">
        <v>29504425</v>
      </c>
      <c r="D7803">
        <v>48000</v>
      </c>
    </row>
    <row r="7804" spans="1:4" x14ac:dyDescent="0.25">
      <c r="A7804" t="str">
        <f>T("   040299")</f>
        <v xml:space="preserve">   040299</v>
      </c>
      <c r="B7804" t="str">
        <f>T("   Lait et crème de lait, concentrés, additionnés de sucre ou d'autres édulcorants (à l'excl. des laits et crèmes de lait en poudre, en granulés ou sous d'autres formes solides)")</f>
        <v xml:space="preserve">   Lait et crème de lait, concentrés, additionnés de sucre ou d'autres édulcorants (à l'excl. des laits et crèmes de lait en poudre, en granulés ou sous d'autres formes solides)</v>
      </c>
      <c r="C7804">
        <v>818499072</v>
      </c>
      <c r="D7804">
        <v>1237590</v>
      </c>
    </row>
    <row r="7805" spans="1:4" x14ac:dyDescent="0.25">
      <c r="A7805" t="str">
        <f>T("   040390")</f>
        <v xml:space="preserve">   040390</v>
      </c>
      <c r="B7805" t="str">
        <f>T("   Babeurre, lait et crème caillés, képhir et autres laits et crèmes fermentés ou acidifiés, même concentrés ou additionnés de sucre ou d'autres édulcorants ou aromatisés ou additionnés de fruits ou de cacao (à l'excl. des yoghourts)")</f>
        <v xml:space="preserve">   Babeurre, lait et crème caillés, képhir et autres laits et crèmes fermentés ou acidifiés, même concentrés ou additionnés de sucre ou d'autres édulcorants ou aromatisés ou additionnés de fruits ou de cacao (à l'excl. des yoghourts)</v>
      </c>
      <c r="C7805">
        <v>52431965</v>
      </c>
      <c r="D7805">
        <v>144000</v>
      </c>
    </row>
    <row r="7806" spans="1:4" x14ac:dyDescent="0.25">
      <c r="A7806" t="str">
        <f>T("   040490")</f>
        <v xml:space="preserve">   040490</v>
      </c>
      <c r="B7806" t="str">
        <f>T("   Produits consistant en composants naturels du lait, même additionnés de sucre ou d'autres édulcorants, n.d.a.")</f>
        <v xml:space="preserve">   Produits consistant en composants naturels du lait, même additionnés de sucre ou d'autres édulcorants, n.d.a.</v>
      </c>
      <c r="C7806">
        <v>34953576</v>
      </c>
      <c r="D7806">
        <v>96000</v>
      </c>
    </row>
    <row r="7807" spans="1:4" x14ac:dyDescent="0.25">
      <c r="A7807" t="str">
        <f>T("   150810")</f>
        <v xml:space="preserve">   150810</v>
      </c>
      <c r="B7807" t="str">
        <f>T("   Huile d'arachide, brute")</f>
        <v xml:space="preserve">   Huile d'arachide, brute</v>
      </c>
      <c r="C7807">
        <v>206115000</v>
      </c>
      <c r="D7807">
        <v>824460</v>
      </c>
    </row>
    <row r="7808" spans="1:4" x14ac:dyDescent="0.25">
      <c r="A7808" t="str">
        <f>T("   150890")</f>
        <v xml:space="preserve">   150890</v>
      </c>
      <c r="B7808" t="str">
        <f>T("   Huile d'arachide et ses fractions, même raffinées, mais non chimiquement modifiées (à l'excl. de l'huile d'arachide brute)")</f>
        <v xml:space="preserve">   Huile d'arachide et ses fractions, même raffinées, mais non chimiquement modifiées (à l'excl. de l'huile d'arachide brute)</v>
      </c>
      <c r="C7808">
        <v>1952687367.4760001</v>
      </c>
      <c r="D7808">
        <v>4948447</v>
      </c>
    </row>
    <row r="7809" spans="1:4" x14ac:dyDescent="0.25">
      <c r="A7809" t="str">
        <f>T("   150990")</f>
        <v xml:space="preserve">   150990</v>
      </c>
      <c r="B7809" t="str">
        <f>T("   Huile d'olive et ses fractions, traitées mais non chimiquement modifiées, obtenues, à partir des fruits de l'olivier, uniquement par des procédés mécaniques ou physiques, dans des conditions n'altérant pas l'huile")</f>
        <v xml:space="preserve">   Huile d'olive et ses fractions, traitées mais non chimiquement modifiées, obtenues, à partir des fruits de l'olivier, uniquement par des procédés mécaniques ou physiques, dans des conditions n'altérant pas l'huile</v>
      </c>
      <c r="C7809">
        <v>5500140</v>
      </c>
      <c r="D7809">
        <v>22000</v>
      </c>
    </row>
    <row r="7810" spans="1:4" x14ac:dyDescent="0.25">
      <c r="A7810" t="str">
        <f>T("   151110")</f>
        <v xml:space="preserve">   151110</v>
      </c>
      <c r="B7810" t="str">
        <f>T("   Huile de palme, brute")</f>
        <v xml:space="preserve">   Huile de palme, brute</v>
      </c>
      <c r="C7810">
        <v>1963979500</v>
      </c>
      <c r="D7810">
        <v>7855918</v>
      </c>
    </row>
    <row r="7811" spans="1:4" x14ac:dyDescent="0.25">
      <c r="A7811" t="str">
        <f>T("   151190")</f>
        <v xml:space="preserve">   151190</v>
      </c>
      <c r="B7811" t="str">
        <f>T("   Huile de palme et ses fractions, même raffinées, mais non chimiquement modifiées (à l'excl. de l'huile de palme brute)")</f>
        <v xml:space="preserve">   Huile de palme et ses fractions, même raffinées, mais non chimiquement modifiées (à l'excl. de l'huile de palme brute)</v>
      </c>
      <c r="C7811">
        <v>18679641035.490002</v>
      </c>
      <c r="D7811">
        <v>50011536</v>
      </c>
    </row>
    <row r="7812" spans="1:4" x14ac:dyDescent="0.25">
      <c r="A7812" t="str">
        <f>T("   151620")</f>
        <v xml:space="preserve">   151620</v>
      </c>
      <c r="B7812" t="str">
        <f>T("   Graisses et huiles végétales et leurs fractions, partiellement ou totalement hydrogénées, interestérifiées, réestérifiées ou élaïdinisées, même raffinées, mais non autrement préparées")</f>
        <v xml:space="preserve">   Graisses et huiles végétales et leurs fractions, partiellement ou totalement hydrogénées, interestérifiées, réestérifiées ou élaïdinisées, même raffinées, mais non autrement préparées</v>
      </c>
      <c r="C7812">
        <v>5500692431</v>
      </c>
      <c r="D7812">
        <v>21920466</v>
      </c>
    </row>
    <row r="7813" spans="1:4" x14ac:dyDescent="0.25">
      <c r="A7813" t="str">
        <f>T("   151790")</f>
        <v xml:space="preserve">   151790</v>
      </c>
      <c r="B7813" t="s">
        <v>35</v>
      </c>
      <c r="C7813">
        <v>6377000</v>
      </c>
      <c r="D7813">
        <v>25508</v>
      </c>
    </row>
    <row r="7814" spans="1:4" x14ac:dyDescent="0.25">
      <c r="A7814" t="str">
        <f>T("   190190")</f>
        <v xml:space="preserve">   190190</v>
      </c>
      <c r="B7814" t="s">
        <v>48</v>
      </c>
      <c r="C7814">
        <v>696442324</v>
      </c>
      <c r="D7814">
        <v>1727841</v>
      </c>
    </row>
    <row r="7815" spans="1:4" x14ac:dyDescent="0.25">
      <c r="A7815" t="str">
        <f>T("   190531")</f>
        <v xml:space="preserve">   190531</v>
      </c>
      <c r="B7815" t="str">
        <f>T("   Biscuits additionnés d'édulcorants")</f>
        <v xml:space="preserve">   Biscuits additionnés d'édulcorants</v>
      </c>
      <c r="C7815">
        <v>31290032</v>
      </c>
      <c r="D7815">
        <v>58108</v>
      </c>
    </row>
    <row r="7816" spans="1:4" x14ac:dyDescent="0.25">
      <c r="A7816" t="str">
        <f>T("   190532")</f>
        <v xml:space="preserve">   190532</v>
      </c>
      <c r="B7816" t="str">
        <f>T("   GAUFRES ET GAUFRETTES")</f>
        <v xml:space="preserve">   GAUFRES ET GAUFRETTES</v>
      </c>
      <c r="C7816">
        <v>11750819</v>
      </c>
      <c r="D7816">
        <v>10160</v>
      </c>
    </row>
    <row r="7817" spans="1:4" x14ac:dyDescent="0.25">
      <c r="A7817" t="str">
        <f>T("   190590")</f>
        <v xml:space="preserve">   190590</v>
      </c>
      <c r="B7817" t="s">
        <v>50</v>
      </c>
      <c r="C7817">
        <v>11635540</v>
      </c>
      <c r="D7817">
        <v>23462</v>
      </c>
    </row>
    <row r="7818" spans="1:4" x14ac:dyDescent="0.25">
      <c r="A7818" t="str">
        <f>T("   200290")</f>
        <v xml:space="preserve">   200290</v>
      </c>
      <c r="B7818" t="str">
        <f>T("   Tomates, préparées ou conservées autrement qu'au vinaigre ou à l'acide acétique (à l'excl. des tomates entières ou en morceaux)")</f>
        <v xml:space="preserve">   Tomates, préparées ou conservées autrement qu'au vinaigre ou à l'acide acétique (à l'excl. des tomates entières ou en morceaux)</v>
      </c>
      <c r="C7818">
        <v>246834526</v>
      </c>
      <c r="D7818">
        <v>733588</v>
      </c>
    </row>
    <row r="7819" spans="1:4" x14ac:dyDescent="0.25">
      <c r="A7819" t="str">
        <f>T("   340111")</f>
        <v xml:space="preserve">   340111</v>
      </c>
      <c r="B7819" t="s">
        <v>101</v>
      </c>
      <c r="C7819">
        <v>10486176</v>
      </c>
      <c r="D7819">
        <v>38790</v>
      </c>
    </row>
    <row r="7820" spans="1:4" x14ac:dyDescent="0.25">
      <c r="A7820" t="str">
        <f>T("   340119")</f>
        <v xml:space="preserve">   340119</v>
      </c>
      <c r="B7820" t="s">
        <v>102</v>
      </c>
      <c r="C7820">
        <v>10500000</v>
      </c>
      <c r="D7820">
        <v>33482</v>
      </c>
    </row>
    <row r="7821" spans="1:4" x14ac:dyDescent="0.25">
      <c r="A7821" t="str">
        <f>T("   340120")</f>
        <v xml:space="preserve">   340120</v>
      </c>
      <c r="B7821" t="str">
        <f>T("   Savons en flocons, en paillettes, en granulés ou en poudres et savons liquides ou pâteux")</f>
        <v xml:space="preserve">   Savons en flocons, en paillettes, en granulés ou en poudres et savons liquides ou pâteux</v>
      </c>
      <c r="C7821">
        <v>21847629</v>
      </c>
      <c r="D7821">
        <v>53001</v>
      </c>
    </row>
    <row r="7822" spans="1:4" x14ac:dyDescent="0.25">
      <c r="A7822" t="str">
        <f>T("   340290")</f>
        <v xml:space="preserve">   340290</v>
      </c>
      <c r="B7822" t="s">
        <v>104</v>
      </c>
      <c r="C7822">
        <v>7460215</v>
      </c>
      <c r="D7822">
        <v>14123</v>
      </c>
    </row>
    <row r="7823" spans="1:4" x14ac:dyDescent="0.25">
      <c r="A7823" t="str">
        <f>T("   392329")</f>
        <v xml:space="preserve">   392329</v>
      </c>
      <c r="B7823" t="str">
        <f>T("   Sacs, sachets, pochettes et cornets, en matières plastiques (autres que les polymères de l'éthylène)")</f>
        <v xml:space="preserve">   Sacs, sachets, pochettes et cornets, en matières plastiques (autres que les polymères de l'éthylène)</v>
      </c>
      <c r="C7823">
        <v>4703520</v>
      </c>
      <c r="D7823">
        <v>14385</v>
      </c>
    </row>
    <row r="7824" spans="1:4" x14ac:dyDescent="0.25">
      <c r="A7824" t="str">
        <f>T("   401511")</f>
        <v xml:space="preserve">   401511</v>
      </c>
      <c r="B7824" t="str">
        <f>T("   Gants en caoutchouc vulcanisé non durci, pour la chirurgie")</f>
        <v xml:space="preserve">   Gants en caoutchouc vulcanisé non durci, pour la chirurgie</v>
      </c>
      <c r="C7824">
        <v>33150251</v>
      </c>
      <c r="D7824">
        <v>39470</v>
      </c>
    </row>
    <row r="7825" spans="1:4" x14ac:dyDescent="0.25">
      <c r="A7825" t="str">
        <f>T("   482020")</f>
        <v xml:space="preserve">   482020</v>
      </c>
      <c r="B7825" t="str">
        <f>T("   Cahiers pour l'écriture, en papier ou carton")</f>
        <v xml:space="preserve">   Cahiers pour l'écriture, en papier ou carton</v>
      </c>
      <c r="C7825">
        <v>59349572</v>
      </c>
      <c r="D7825">
        <v>201572</v>
      </c>
    </row>
    <row r="7826" spans="1:4" x14ac:dyDescent="0.25">
      <c r="A7826" t="str">
        <f>T("   630900")</f>
        <v xml:space="preserve">   630900</v>
      </c>
      <c r="B7826" t="s">
        <v>280</v>
      </c>
      <c r="C7826">
        <v>25823543</v>
      </c>
      <c r="D7826">
        <v>42750</v>
      </c>
    </row>
    <row r="7827" spans="1:4" x14ac:dyDescent="0.25">
      <c r="A7827" t="str">
        <f>T("   841919")</f>
        <v xml:space="preserve">   841919</v>
      </c>
      <c r="B7827" t="str">
        <f>T("   Chauffe-eau non-électriques, à chauffage instantané ou à accumulation (à l'excl. des chauffe-eau instantanés à gaz et des chaudières ou générateurs mixtes pour chauffage central)")</f>
        <v xml:space="preserve">   Chauffe-eau non-électriques, à chauffage instantané ou à accumulation (à l'excl. des chauffe-eau instantanés à gaz et des chaudières ou générateurs mixtes pour chauffage central)</v>
      </c>
      <c r="C7827">
        <v>7647000</v>
      </c>
      <c r="D7827">
        <v>11950</v>
      </c>
    </row>
    <row r="7828" spans="1:4" x14ac:dyDescent="0.25">
      <c r="A7828" t="str">
        <f>T("   940161")</f>
        <v xml:space="preserve">   940161</v>
      </c>
      <c r="B7828" t="str">
        <f>T("   Sièges, avec bâti en bois, rembourrés (non transformables en lits)")</f>
        <v xml:space="preserve">   Sièges, avec bâti en bois, rembourrés (non transformables en lits)</v>
      </c>
      <c r="C7828">
        <v>3566843</v>
      </c>
      <c r="D7828">
        <v>1128</v>
      </c>
    </row>
    <row r="7829" spans="1:4" x14ac:dyDescent="0.25">
      <c r="A7829" t="str">
        <f>T("   940169")</f>
        <v xml:space="preserve">   940169</v>
      </c>
      <c r="B7829" t="str">
        <f>T("   Sièges, avec bâti en bois, non rembourrés")</f>
        <v xml:space="preserve">   Sièges, avec bâti en bois, non rembourrés</v>
      </c>
      <c r="C7829">
        <v>13657744</v>
      </c>
      <c r="D7829">
        <v>2956</v>
      </c>
    </row>
    <row r="7830" spans="1:4" x14ac:dyDescent="0.25">
      <c r="A7830" t="str">
        <f>T("   940171")</f>
        <v xml:space="preserve">   940171</v>
      </c>
      <c r="B7830" t="str">
        <f>T("   Sièges, avec bâti en métal, rembourrés (autres que pour véhicules aériens ou automobiles, autres que fauteuils pivotants ajustables en hauteur et autres que pour la médecine, l'art dentaire ou la chirurgie)")</f>
        <v xml:space="preserve">   Sièges, avec bâti en métal, rembourrés (autres que pour véhicules aériens ou automobiles, autres que fauteuils pivotants ajustables en hauteur et autres que pour la médecine, l'art dentaire ou la chirurgie)</v>
      </c>
      <c r="C7830">
        <v>8359727</v>
      </c>
      <c r="D7830">
        <v>2858</v>
      </c>
    </row>
    <row r="7831" spans="1:4" x14ac:dyDescent="0.25">
      <c r="A7831" t="str">
        <f>T("   940180")</f>
        <v xml:space="preserve">   940180</v>
      </c>
      <c r="B7831" t="str">
        <f>T("   Sièges, n.d.a.")</f>
        <v xml:space="preserve">   Sièges, n.d.a.</v>
      </c>
      <c r="C7831">
        <v>30707958</v>
      </c>
      <c r="D7831">
        <v>13323</v>
      </c>
    </row>
    <row r="7832" spans="1:4" x14ac:dyDescent="0.25">
      <c r="A7832" t="str">
        <f>T("   940310")</f>
        <v xml:space="preserve">   940310</v>
      </c>
      <c r="B7832" t="str">
        <f>T("   Meubles de bureau en métal (sauf sièges)")</f>
        <v xml:space="preserve">   Meubles de bureau en métal (sauf sièges)</v>
      </c>
      <c r="C7832">
        <v>31521225</v>
      </c>
      <c r="D7832">
        <v>49774</v>
      </c>
    </row>
    <row r="7833" spans="1:4" x14ac:dyDescent="0.25">
      <c r="A7833" t="str">
        <f>T("   940330")</f>
        <v xml:space="preserve">   940330</v>
      </c>
      <c r="B7833" t="str">
        <f>T("   Meubles de bureau en bois (sauf sièges)")</f>
        <v xml:space="preserve">   Meubles de bureau en bois (sauf sièges)</v>
      </c>
      <c r="C7833">
        <v>10236670</v>
      </c>
      <c r="D7833">
        <v>23831</v>
      </c>
    </row>
    <row r="7834" spans="1:4" x14ac:dyDescent="0.25">
      <c r="A7834" t="str">
        <f>T("   940340")</f>
        <v xml:space="preserve">   940340</v>
      </c>
      <c r="B7834" t="str">
        <f>T("   Meubles de cuisine, en bois (sauf sièges)")</f>
        <v xml:space="preserve">   Meubles de cuisine, en bois (sauf sièges)</v>
      </c>
      <c r="C7834">
        <v>17365244</v>
      </c>
      <c r="D7834">
        <v>23873</v>
      </c>
    </row>
    <row r="7835" spans="1:4" x14ac:dyDescent="0.25">
      <c r="A7835" t="str">
        <f>T("MZ")</f>
        <v>MZ</v>
      </c>
      <c r="B7835" t="str">
        <f>T("Mozambique")</f>
        <v>Mozambique</v>
      </c>
    </row>
    <row r="7836" spans="1:4" x14ac:dyDescent="0.25">
      <c r="A7836" t="str">
        <f>T("   ZZ_Total_Produit_SH6")</f>
        <v xml:space="preserve">   ZZ_Total_Produit_SH6</v>
      </c>
      <c r="B7836" t="str">
        <f>T("   ZZ_Total_Produit_SH6")</f>
        <v xml:space="preserve">   ZZ_Total_Produit_SH6</v>
      </c>
      <c r="C7836">
        <v>800000</v>
      </c>
      <c r="D7836">
        <v>167</v>
      </c>
    </row>
    <row r="7837" spans="1:4" x14ac:dyDescent="0.25">
      <c r="A7837" t="str">
        <f>T("   621020")</f>
        <v xml:space="preserve">   621020</v>
      </c>
      <c r="B7837" t="str">
        <f>T("   Vêtements des types du n° 6201.11 à 6201.19 [manteaux, cabans, capes et articles simil.], caoutchoutés ou imprégnés, enduits ou recouverts de matière plastique ou d'autres substances")</f>
        <v xml:space="preserve">   Vêtements des types du n° 6201.11 à 6201.19 [manteaux, cabans, capes et articles simil.], caoutchoutés ou imprégnés, enduits ou recouverts de matière plastique ou d'autres substances</v>
      </c>
      <c r="C7837">
        <v>800000</v>
      </c>
      <c r="D7837">
        <v>167</v>
      </c>
    </row>
    <row r="7838" spans="1:4" x14ac:dyDescent="0.25">
      <c r="A7838" t="str">
        <f>T("NA")</f>
        <v>NA</v>
      </c>
      <c r="B7838" t="str">
        <f>T("Namibie")</f>
        <v>Namibie</v>
      </c>
    </row>
    <row r="7839" spans="1:4" x14ac:dyDescent="0.25">
      <c r="A7839" t="str">
        <f>T("   ZZ_Total_Produit_SH6")</f>
        <v xml:space="preserve">   ZZ_Total_Produit_SH6</v>
      </c>
      <c r="B7839" t="str">
        <f>T("   ZZ_Total_Produit_SH6")</f>
        <v xml:space="preserve">   ZZ_Total_Produit_SH6</v>
      </c>
      <c r="C7839">
        <v>2279034066</v>
      </c>
      <c r="D7839">
        <v>10058517</v>
      </c>
    </row>
    <row r="7840" spans="1:4" x14ac:dyDescent="0.25">
      <c r="A7840" t="str">
        <f>T("   030379")</f>
        <v xml:space="preserve">   030379</v>
      </c>
      <c r="B7840" t="s">
        <v>15</v>
      </c>
      <c r="C7840">
        <v>2260873125</v>
      </c>
      <c r="D7840">
        <v>10048325</v>
      </c>
    </row>
    <row r="7841" spans="1:4" x14ac:dyDescent="0.25">
      <c r="A7841" t="str">
        <f>T("   300490")</f>
        <v xml:space="preserve">   300490</v>
      </c>
      <c r="B7841" t="s">
        <v>78</v>
      </c>
      <c r="C7841">
        <v>14160941</v>
      </c>
      <c r="D7841">
        <v>392</v>
      </c>
    </row>
    <row r="7842" spans="1:4" x14ac:dyDescent="0.25">
      <c r="A7842" t="str">
        <f>T("   490199")</f>
        <v xml:space="preserve">   490199</v>
      </c>
      <c r="B7842"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7842">
        <v>350000</v>
      </c>
      <c r="D7842">
        <v>600</v>
      </c>
    </row>
    <row r="7843" spans="1:4" x14ac:dyDescent="0.25">
      <c r="A7843" t="str">
        <f>T("   620590")</f>
        <v xml:space="preserve">   620590</v>
      </c>
      <c r="B7843"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7843">
        <v>950000</v>
      </c>
      <c r="D7843">
        <v>2500</v>
      </c>
    </row>
    <row r="7844" spans="1:4" x14ac:dyDescent="0.25">
      <c r="A7844" t="str">
        <f>T("   732394")</f>
        <v xml:space="preserve">   732394</v>
      </c>
      <c r="B7844" t="s">
        <v>361</v>
      </c>
      <c r="C7844">
        <v>700000</v>
      </c>
      <c r="D7844">
        <v>1700</v>
      </c>
    </row>
    <row r="7845" spans="1:4" x14ac:dyDescent="0.25">
      <c r="A7845" t="str">
        <f>T("   940350")</f>
        <v xml:space="preserve">   940350</v>
      </c>
      <c r="B7845" t="str">
        <f>T("   Meubles pour chambres à coucher, en bois (sauf sièges)")</f>
        <v xml:space="preserve">   Meubles pour chambres à coucher, en bois (sauf sièges)</v>
      </c>
      <c r="C7845">
        <v>2000000</v>
      </c>
      <c r="D7845">
        <v>5000</v>
      </c>
    </row>
    <row r="7846" spans="1:4" x14ac:dyDescent="0.25">
      <c r="A7846" t="str">
        <f>T("NE")</f>
        <v>NE</v>
      </c>
      <c r="B7846" t="str">
        <f>T("Niger")</f>
        <v>Niger</v>
      </c>
    </row>
    <row r="7847" spans="1:4" x14ac:dyDescent="0.25">
      <c r="A7847" t="str">
        <f>T("   ZZ_Total_Produit_SH6")</f>
        <v xml:space="preserve">   ZZ_Total_Produit_SH6</v>
      </c>
      <c r="B7847" t="str">
        <f>T("   ZZ_Total_Produit_SH6")</f>
        <v xml:space="preserve">   ZZ_Total_Produit_SH6</v>
      </c>
      <c r="C7847">
        <v>29935328</v>
      </c>
      <c r="D7847">
        <v>28709</v>
      </c>
    </row>
    <row r="7848" spans="1:4" x14ac:dyDescent="0.25">
      <c r="A7848" t="str">
        <f>T("   490199")</f>
        <v xml:space="preserve">   490199</v>
      </c>
      <c r="B7848"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7848">
        <v>200000</v>
      </c>
      <c r="D7848">
        <v>133</v>
      </c>
    </row>
    <row r="7849" spans="1:4" x14ac:dyDescent="0.25">
      <c r="A7849" t="str">
        <f>T("   761290")</f>
        <v xml:space="preserve">   761290</v>
      </c>
      <c r="B7849" t="str">
        <f>T("   Réservoirs, fûts, tambours, bidons, boîtes et récipients simil., en aluminium, y.c. les étuis tubulaires rigides, pour toutes matières, sauf gaz comprimés ou liquéfiés, d'une contenance &lt;= 300 l, n.d.a.")</f>
        <v xml:space="preserve">   Réservoirs, fûts, tambours, bidons, boîtes et récipients simil., en aluminium, y.c. les étuis tubulaires rigides, pour toutes matières, sauf gaz comprimés ou liquéfiés, d'une contenance &lt;= 300 l, n.d.a.</v>
      </c>
      <c r="C7849">
        <v>50000</v>
      </c>
      <c r="D7849">
        <v>160</v>
      </c>
    </row>
    <row r="7850" spans="1:4" x14ac:dyDescent="0.25">
      <c r="A7850" t="str">
        <f>T("   847190")</f>
        <v xml:space="preserve">   847190</v>
      </c>
      <c r="B7850"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7850">
        <v>2544897</v>
      </c>
      <c r="D7850">
        <v>239</v>
      </c>
    </row>
    <row r="7851" spans="1:4" x14ac:dyDescent="0.25">
      <c r="A7851" t="str">
        <f>T("   847330")</f>
        <v xml:space="preserve">   847330</v>
      </c>
      <c r="B7851" t="str">
        <f>T("   Parties et accessoires pour machines automatiques de traitement de l'information ou pour autres machines du n° 8471, n.d.a.")</f>
        <v xml:space="preserve">   Parties et accessoires pour machines automatiques de traitement de l'information ou pour autres machines du n° 8471, n.d.a.</v>
      </c>
      <c r="C7851">
        <v>688758</v>
      </c>
      <c r="D7851">
        <v>20</v>
      </c>
    </row>
    <row r="7852" spans="1:4" x14ac:dyDescent="0.25">
      <c r="A7852" t="str">
        <f>T("   847910")</f>
        <v xml:space="preserve">   847910</v>
      </c>
      <c r="B7852" t="str">
        <f>T("   Machines et appareils pour les travaux publics, le bâtiment ou les travaux analogues, n.d.a.")</f>
        <v xml:space="preserve">   Machines et appareils pour les travaux publics, le bâtiment ou les travaux analogues, n.d.a.</v>
      </c>
      <c r="C7852">
        <v>11953125</v>
      </c>
      <c r="D7852">
        <v>23000</v>
      </c>
    </row>
    <row r="7853" spans="1:4" x14ac:dyDescent="0.25">
      <c r="A7853" t="str">
        <f>T("   851780")</f>
        <v xml:space="preserve">   851780</v>
      </c>
      <c r="B7853" t="s">
        <v>453</v>
      </c>
      <c r="C7853">
        <v>1052816</v>
      </c>
      <c r="D7853">
        <v>22</v>
      </c>
    </row>
    <row r="7854" spans="1:4" x14ac:dyDescent="0.25">
      <c r="A7854" t="str">
        <f>T("   870290")</f>
        <v xml:space="preserve">   870290</v>
      </c>
      <c r="B7854" t="s">
        <v>473</v>
      </c>
      <c r="C7854">
        <v>1200000</v>
      </c>
      <c r="D7854">
        <v>950</v>
      </c>
    </row>
    <row r="7855" spans="1:4" x14ac:dyDescent="0.25">
      <c r="A7855" t="str">
        <f>T("   870322")</f>
        <v xml:space="preserve">   870322</v>
      </c>
      <c r="B7855" t="s">
        <v>475</v>
      </c>
      <c r="C7855">
        <v>8924732</v>
      </c>
      <c r="D7855">
        <v>1775</v>
      </c>
    </row>
    <row r="7856" spans="1:4" x14ac:dyDescent="0.25">
      <c r="A7856" t="str">
        <f>T("   870333")</f>
        <v xml:space="preserve">   870333</v>
      </c>
      <c r="B7856" t="s">
        <v>480</v>
      </c>
      <c r="C7856">
        <v>2121000</v>
      </c>
      <c r="D7856">
        <v>1230</v>
      </c>
    </row>
    <row r="7857" spans="1:4" x14ac:dyDescent="0.25">
      <c r="A7857" t="str">
        <f>T("   870421")</f>
        <v xml:space="preserve">   870421</v>
      </c>
      <c r="B7857" t="s">
        <v>481</v>
      </c>
      <c r="C7857">
        <v>1200000</v>
      </c>
      <c r="D7857">
        <v>1180</v>
      </c>
    </row>
    <row r="7858" spans="1:4" x14ac:dyDescent="0.25">
      <c r="A7858" t="str">
        <f>T("NF")</f>
        <v>NF</v>
      </c>
      <c r="B7858" t="str">
        <f>T("Norfolk, île")</f>
        <v>Norfolk, île</v>
      </c>
    </row>
    <row r="7859" spans="1:4" x14ac:dyDescent="0.25">
      <c r="A7859" t="str">
        <f>T("   ZZ_Total_Produit_SH6")</f>
        <v xml:space="preserve">   ZZ_Total_Produit_SH6</v>
      </c>
      <c r="B7859" t="str">
        <f>T("   ZZ_Total_Produit_SH6")</f>
        <v xml:space="preserve">   ZZ_Total_Produit_SH6</v>
      </c>
      <c r="C7859">
        <v>6480501</v>
      </c>
      <c r="D7859">
        <v>6081</v>
      </c>
    </row>
    <row r="7860" spans="1:4" x14ac:dyDescent="0.25">
      <c r="A7860" t="str">
        <f>T("   870322")</f>
        <v xml:space="preserve">   870322</v>
      </c>
      <c r="B7860" t="s">
        <v>475</v>
      </c>
      <c r="C7860">
        <v>6180501</v>
      </c>
      <c r="D7860">
        <v>5781</v>
      </c>
    </row>
    <row r="7861" spans="1:4" x14ac:dyDescent="0.25">
      <c r="A7861" t="str">
        <f>T("   940370")</f>
        <v xml:space="preserve">   940370</v>
      </c>
      <c r="B7861" t="str">
        <f>T("   Meubles en matières plastiques (autres que pour la médecine, l'art dentaire et vétérinaire, la chirurgie et autres que sièges)")</f>
        <v xml:space="preserve">   Meubles en matières plastiques (autres que pour la médecine, l'art dentaire et vétérinaire, la chirurgie et autres que sièges)</v>
      </c>
      <c r="C7861">
        <v>300000</v>
      </c>
      <c r="D7861">
        <v>300</v>
      </c>
    </row>
    <row r="7862" spans="1:4" x14ac:dyDescent="0.25">
      <c r="A7862" t="str">
        <f>T("NG")</f>
        <v>NG</v>
      </c>
      <c r="B7862" t="str">
        <f>T("Nigéria")</f>
        <v>Nigéria</v>
      </c>
    </row>
    <row r="7863" spans="1:4" x14ac:dyDescent="0.25">
      <c r="A7863" t="str">
        <f>T("   ZZ_Total_Produit_SH6")</f>
        <v xml:space="preserve">   ZZ_Total_Produit_SH6</v>
      </c>
      <c r="B7863" t="str">
        <f>T("   ZZ_Total_Produit_SH6")</f>
        <v xml:space="preserve">   ZZ_Total_Produit_SH6</v>
      </c>
      <c r="C7863">
        <v>29934305798.957001</v>
      </c>
      <c r="D7863">
        <v>110359684.7</v>
      </c>
    </row>
    <row r="7864" spans="1:4" x14ac:dyDescent="0.25">
      <c r="A7864" t="str">
        <f>T("   040210")</f>
        <v xml:space="preserve">   040210</v>
      </c>
      <c r="B7864" t="str">
        <f>T("   Lait et crème de lait, en poudre, en granulés ou sous d'autres formes solides, d'une teneur en poids de matières grasses &lt;= 1,5%")</f>
        <v xml:space="preserve">   Lait et crème de lait, en poudre, en granulés ou sous d'autres formes solides, d'une teneur en poids de matières grasses &lt;= 1,5%</v>
      </c>
      <c r="C7864">
        <v>55972961</v>
      </c>
      <c r="D7864">
        <v>32793</v>
      </c>
    </row>
    <row r="7865" spans="1:4" x14ac:dyDescent="0.25">
      <c r="A7865" t="str">
        <f>T("   040221")</f>
        <v xml:space="preserve">   040221</v>
      </c>
      <c r="B7865" t="str">
        <f>T("   Lait et crème de lait, en poudre, en granulés ou sous d'autres formes solides, d'une teneur en poids de matières grasses &gt; 1,5%, sans addition de sucre ou d'autres édulcorants")</f>
        <v xml:space="preserve">   Lait et crème de lait, en poudre, en granulés ou sous d'autres formes solides, d'une teneur en poids de matières grasses &gt; 1,5%, sans addition de sucre ou d'autres édulcorants</v>
      </c>
      <c r="C7865">
        <v>26670000</v>
      </c>
      <c r="D7865">
        <v>5320</v>
      </c>
    </row>
    <row r="7866" spans="1:4" x14ac:dyDescent="0.25">
      <c r="A7866" t="str">
        <f>T("   040291")</f>
        <v xml:space="preserve">   040291</v>
      </c>
      <c r="B7866" t="str">
        <f>T("   Lait et crème de lait, concentrés, sans addition de sucre ou d'autres édulcorants (à l'excl. des laits et crèmes de lait en poudre, en granulés ou sous d'autres formes solides)")</f>
        <v xml:space="preserve">   Lait et crème de lait, concentrés, sans addition de sucre ou d'autres édulcorants (à l'excl. des laits et crèmes de lait en poudre, en granulés ou sous d'autres formes solides)</v>
      </c>
      <c r="C7866">
        <v>19869277</v>
      </c>
      <c r="D7866">
        <v>5940</v>
      </c>
    </row>
    <row r="7867" spans="1:4" x14ac:dyDescent="0.25">
      <c r="A7867" t="str">
        <f>T("   040510")</f>
        <v xml:space="preserve">   040510</v>
      </c>
      <c r="B7867" t="str">
        <f>T("   Beurre (sauf beurre déshydraté et ghee)")</f>
        <v xml:space="preserve">   Beurre (sauf beurre déshydraté et ghee)</v>
      </c>
      <c r="C7867">
        <v>1851300</v>
      </c>
      <c r="D7867">
        <v>2093</v>
      </c>
    </row>
    <row r="7868" spans="1:4" x14ac:dyDescent="0.25">
      <c r="A7868" t="str">
        <f>T("   050690")</f>
        <v xml:space="preserve">   050690</v>
      </c>
      <c r="B7868" t="str">
        <f>T("   Os et cornillons, bruts, dégraissés, dégélatinés ou simplement préparés, et poudres et déchets de ces matières (à l'excl. de l'osséine et des os acidulés ou découpés en forme)")</f>
        <v xml:space="preserve">   Os et cornillons, bruts, dégraissés, dégélatinés ou simplement préparés, et poudres et déchets de ces matières (à l'excl. de l'osséine et des os acidulés ou découpés en forme)</v>
      </c>
      <c r="C7868">
        <v>336120</v>
      </c>
      <c r="D7868">
        <v>30000</v>
      </c>
    </row>
    <row r="7869" spans="1:4" x14ac:dyDescent="0.25">
      <c r="A7869" t="str">
        <f>T("   070190")</f>
        <v xml:space="preserve">   070190</v>
      </c>
      <c r="B7869" t="str">
        <f>T("   Pommes de terre, à l'état frais ou réfrigéré (à l'excl. des pommes de terre de semence)")</f>
        <v xml:space="preserve">   Pommes de terre, à l'état frais ou réfrigéré (à l'excl. des pommes de terre de semence)</v>
      </c>
      <c r="C7869">
        <v>1183625</v>
      </c>
      <c r="D7869">
        <v>18210</v>
      </c>
    </row>
    <row r="7870" spans="1:4" x14ac:dyDescent="0.25">
      <c r="A7870" t="str">
        <f>T("   071339")</f>
        <v xml:space="preserve">   071339</v>
      </c>
      <c r="B7870" t="str">
        <f>T("   Haricots 'Vigna spp., Phaseolus spp.', secs, écossés, même décortiqués ou cassés (à l'excl. des haricots des espèces 'Vigna mungo L. Hepper ou Vigna radiata L. Wilczek', des haricots 'petits rouges' [haricots Adzuki] et des haricots communs)")</f>
        <v xml:space="preserve">   Haricots 'Vigna spp., Phaseolus spp.', secs, écossés, même décortiqués ou cassés (à l'excl. des haricots des espèces 'Vigna mungo L. Hepper ou Vigna radiata L. Wilczek', des haricots 'petits rouges' [haricots Adzuki] et des haricots communs)</v>
      </c>
      <c r="C7870">
        <v>6163125</v>
      </c>
      <c r="D7870">
        <v>81275</v>
      </c>
    </row>
    <row r="7871" spans="1:4" x14ac:dyDescent="0.25">
      <c r="A7871" t="str">
        <f>T("   090411")</f>
        <v xml:space="preserve">   090411</v>
      </c>
      <c r="B7871" t="str">
        <f>T("   Poivre du genre 'Piper', non broyé ni pulvérisé")</f>
        <v xml:space="preserve">   Poivre du genre 'Piper', non broyé ni pulvérisé</v>
      </c>
      <c r="C7871">
        <v>27300</v>
      </c>
      <c r="D7871">
        <v>65</v>
      </c>
    </row>
    <row r="7872" spans="1:4" x14ac:dyDescent="0.25">
      <c r="A7872" t="str">
        <f>T("   090420")</f>
        <v xml:space="preserve">   090420</v>
      </c>
      <c r="B7872" t="str">
        <f>T("   Piments du genre 'Capsicum' ou du genre 'Pimenta', séchés ou broyés ou pulvérisés")</f>
        <v xml:space="preserve">   Piments du genre 'Capsicum' ou du genre 'Pimenta', séchés ou broyés ou pulvérisés</v>
      </c>
      <c r="C7872">
        <v>1005300</v>
      </c>
      <c r="D7872">
        <v>11170</v>
      </c>
    </row>
    <row r="7873" spans="1:4" x14ac:dyDescent="0.25">
      <c r="A7873" t="str">
        <f>T("   091010")</f>
        <v xml:space="preserve">   091010</v>
      </c>
      <c r="B7873" t="str">
        <f>T("   Gingembre")</f>
        <v xml:space="preserve">   Gingembre</v>
      </c>
      <c r="C7873">
        <v>14428800</v>
      </c>
      <c r="D7873">
        <v>158920</v>
      </c>
    </row>
    <row r="7874" spans="1:4" x14ac:dyDescent="0.25">
      <c r="A7874" t="str">
        <f>T("   100590")</f>
        <v xml:space="preserve">   100590</v>
      </c>
      <c r="B7874" t="str">
        <f>T("   Maïs (autre que de semence)")</f>
        <v xml:space="preserve">   Maïs (autre que de semence)</v>
      </c>
      <c r="C7874">
        <v>34500</v>
      </c>
      <c r="D7874">
        <v>460</v>
      </c>
    </row>
    <row r="7875" spans="1:4" x14ac:dyDescent="0.25">
      <c r="A7875" t="str">
        <f>T("   100700")</f>
        <v xml:space="preserve">   100700</v>
      </c>
      <c r="B7875" t="str">
        <f>T("   Sorgho à grains")</f>
        <v xml:space="preserve">   Sorgho à grains</v>
      </c>
      <c r="C7875">
        <v>2062500</v>
      </c>
      <c r="D7875">
        <v>27500</v>
      </c>
    </row>
    <row r="7876" spans="1:4" x14ac:dyDescent="0.25">
      <c r="A7876" t="str">
        <f>T("   110100")</f>
        <v xml:space="preserve">   110100</v>
      </c>
      <c r="B7876" t="str">
        <f>T("   Farines de froment [blé] ou de méteil")</f>
        <v xml:space="preserve">   Farines de froment [blé] ou de méteil</v>
      </c>
      <c r="C7876">
        <v>20520368.326000001</v>
      </c>
      <c r="D7876">
        <v>63647</v>
      </c>
    </row>
    <row r="7877" spans="1:4" x14ac:dyDescent="0.25">
      <c r="A7877" t="str">
        <f>T("   110313")</f>
        <v xml:space="preserve">   110313</v>
      </c>
      <c r="B7877" t="str">
        <f>T("   Gruaux et semoules de maïs")</f>
        <v xml:space="preserve">   Gruaux et semoules de maïs</v>
      </c>
      <c r="C7877">
        <v>242600</v>
      </c>
      <c r="D7877">
        <v>500</v>
      </c>
    </row>
    <row r="7878" spans="1:4" x14ac:dyDescent="0.25">
      <c r="A7878" t="str">
        <f>T("   120100")</f>
        <v xml:space="preserve">   120100</v>
      </c>
      <c r="B7878" t="str">
        <f>T("   Fèves de soja, même concassées")</f>
        <v xml:space="preserve">   Fèves de soja, même concassées</v>
      </c>
      <c r="C7878">
        <v>900000</v>
      </c>
      <c r="D7878">
        <v>12000</v>
      </c>
    </row>
    <row r="7879" spans="1:4" x14ac:dyDescent="0.25">
      <c r="A7879" t="str">
        <f>T("   121190")</f>
        <v xml:space="preserve">   121190</v>
      </c>
      <c r="B7879" t="s">
        <v>30</v>
      </c>
      <c r="C7879">
        <v>5781500</v>
      </c>
      <c r="D7879">
        <v>115630</v>
      </c>
    </row>
    <row r="7880" spans="1:4" x14ac:dyDescent="0.25">
      <c r="A7880" t="str">
        <f>T("   130120")</f>
        <v xml:space="preserve">   130120</v>
      </c>
      <c r="B7880" t="str">
        <f>T("   Gomme arabique")</f>
        <v xml:space="preserve">   Gomme arabique</v>
      </c>
      <c r="C7880">
        <v>22000</v>
      </c>
      <c r="D7880">
        <v>200</v>
      </c>
    </row>
    <row r="7881" spans="1:4" x14ac:dyDescent="0.25">
      <c r="A7881" t="str">
        <f>T("   150890")</f>
        <v xml:space="preserve">   150890</v>
      </c>
      <c r="B7881" t="str">
        <f>T("   Huile d'arachide et ses fractions, même raffinées, mais non chimiquement modifiées (à l'excl. de l'huile d'arachide brute)")</f>
        <v xml:space="preserve">   Huile d'arachide et ses fractions, même raffinées, mais non chimiquement modifiées (à l'excl. de l'huile d'arachide brute)</v>
      </c>
      <c r="C7881">
        <v>69766.630999999994</v>
      </c>
      <c r="D7881">
        <v>181</v>
      </c>
    </row>
    <row r="7882" spans="1:4" x14ac:dyDescent="0.25">
      <c r="A7882" t="str">
        <f>T("   151190")</f>
        <v xml:space="preserve">   151190</v>
      </c>
      <c r="B7882" t="str">
        <f>T("   Huile de palme et ses fractions, même raffinées, mais non chimiquement modifiées (à l'excl. de l'huile de palme brute)")</f>
        <v xml:space="preserve">   Huile de palme et ses fractions, même raffinées, mais non chimiquement modifiées (à l'excl. de l'huile de palme brute)</v>
      </c>
      <c r="C7882">
        <v>7500</v>
      </c>
      <c r="D7882">
        <v>25</v>
      </c>
    </row>
    <row r="7883" spans="1:4" x14ac:dyDescent="0.25">
      <c r="A7883" t="str">
        <f>T("   151490")</f>
        <v xml:space="preserve">   151490</v>
      </c>
      <c r="B7883" t="str">
        <f>T("   HUILES DE NAVETTE, DE COLZA OU DE MOUTARDE ET LEURS FRACTIONS, MÊME RAFFINÉES, MAIS NON CHIMIQUEMENT MODIFIEES (À L'EXCL. DES HUILES BRUTES)")</f>
        <v xml:space="preserve">   HUILES DE NAVETTE, DE COLZA OU DE MOUTARDE ET LEURS FRACTIONS, MÊME RAFFINÉES, MAIS NON CHIMIQUEMENT MODIFIEES (À L'EXCL. DES HUILES BRUTES)</v>
      </c>
      <c r="C7883">
        <v>166740</v>
      </c>
      <c r="D7883">
        <v>317</v>
      </c>
    </row>
    <row r="7884" spans="1:4" x14ac:dyDescent="0.25">
      <c r="A7884" t="str">
        <f>T("   160413")</f>
        <v xml:space="preserve">   160413</v>
      </c>
      <c r="B7884" t="str">
        <f>T("   Préparations et conserves de sardines, sardinelles, sprats ou esprots, entiers ou en morceaux (à l'excl. des préparations et conserves de poissons hachés)")</f>
        <v xml:space="preserve">   Préparations et conserves de sardines, sardinelles, sprats ou esprots, entiers ou en morceaux (à l'excl. des préparations et conserves de poissons hachés)</v>
      </c>
      <c r="C7884">
        <v>16939200</v>
      </c>
      <c r="D7884">
        <v>11540</v>
      </c>
    </row>
    <row r="7885" spans="1:4" x14ac:dyDescent="0.25">
      <c r="A7885" t="str">
        <f>T("   170410")</f>
        <v xml:space="preserve">   170410</v>
      </c>
      <c r="B7885" t="str">
        <f>T("   Gommes à mâcher [chewing-gum], même enrobées de sucre")</f>
        <v xml:space="preserve">   Gommes à mâcher [chewing-gum], même enrobées de sucre</v>
      </c>
      <c r="C7885">
        <v>1077750</v>
      </c>
      <c r="D7885">
        <v>2395</v>
      </c>
    </row>
    <row r="7886" spans="1:4" x14ac:dyDescent="0.25">
      <c r="A7886" t="str">
        <f>T("   170490")</f>
        <v xml:space="preserve">   170490</v>
      </c>
      <c r="B7886" t="str">
        <f>T("   Sucreries sans cacao, y.c. le chocolat blanc (à l'excl. des gommes à mâcher)")</f>
        <v xml:space="preserve">   Sucreries sans cacao, y.c. le chocolat blanc (à l'excl. des gommes à mâcher)</v>
      </c>
      <c r="C7886">
        <v>8948400</v>
      </c>
      <c r="D7886">
        <v>25943</v>
      </c>
    </row>
    <row r="7887" spans="1:4" x14ac:dyDescent="0.25">
      <c r="A7887" t="str">
        <f>T("   190110")</f>
        <v xml:space="preserve">   190110</v>
      </c>
      <c r="B7887" t="s">
        <v>46</v>
      </c>
      <c r="C7887">
        <v>30144800</v>
      </c>
      <c r="D7887">
        <v>74753</v>
      </c>
    </row>
    <row r="7888" spans="1:4" x14ac:dyDescent="0.25">
      <c r="A7888" t="str">
        <f>T("   190190")</f>
        <v xml:space="preserve">   190190</v>
      </c>
      <c r="B7888" t="s">
        <v>48</v>
      </c>
      <c r="C7888">
        <v>112500</v>
      </c>
      <c r="D7888">
        <v>50</v>
      </c>
    </row>
    <row r="7889" spans="1:4" x14ac:dyDescent="0.25">
      <c r="A7889" t="str">
        <f>T("   190220")</f>
        <v xml:space="preserve">   190220</v>
      </c>
      <c r="B7889" t="str">
        <f>T("   Pâtes alimentaires, farcies de viande ou d'autres substances, même cuites ou autrement préparées")</f>
        <v xml:space="preserve">   Pâtes alimentaires, farcies de viande ou d'autres substances, même cuites ou autrement préparées</v>
      </c>
      <c r="C7889">
        <v>23061586</v>
      </c>
      <c r="D7889">
        <v>45000</v>
      </c>
    </row>
    <row r="7890" spans="1:4" x14ac:dyDescent="0.25">
      <c r="A7890" t="str">
        <f>T("   190230")</f>
        <v xml:space="preserve">   190230</v>
      </c>
      <c r="B7890" t="str">
        <f>T("   Pâtes alimentaires, cuites ou autrement préparées (à l'excl. des pâtes alimentaires farcies)")</f>
        <v xml:space="preserve">   Pâtes alimentaires, cuites ou autrement préparées (à l'excl. des pâtes alimentaires farcies)</v>
      </c>
      <c r="C7890">
        <v>10158181</v>
      </c>
      <c r="D7890">
        <v>50615</v>
      </c>
    </row>
    <row r="7891" spans="1:4" x14ac:dyDescent="0.25">
      <c r="A7891" t="str">
        <f>T("   190590")</f>
        <v xml:space="preserve">   190590</v>
      </c>
      <c r="B7891" t="s">
        <v>50</v>
      </c>
      <c r="C7891">
        <v>171982080</v>
      </c>
      <c r="D7891">
        <v>862244</v>
      </c>
    </row>
    <row r="7892" spans="1:4" x14ac:dyDescent="0.25">
      <c r="A7892" t="str">
        <f>T("   200290")</f>
        <v xml:space="preserve">   200290</v>
      </c>
      <c r="B7892" t="str">
        <f>T("   Tomates, préparées ou conservées autrement qu'au vinaigre ou à l'acide acétique (à l'excl. des tomates entières ou en morceaux)")</f>
        <v xml:space="preserve">   Tomates, préparées ou conservées autrement qu'au vinaigre ou à l'acide acétique (à l'excl. des tomates entières ou en morceaux)</v>
      </c>
      <c r="C7892">
        <v>149391348</v>
      </c>
      <c r="D7892">
        <v>464850</v>
      </c>
    </row>
    <row r="7893" spans="1:4" x14ac:dyDescent="0.25">
      <c r="A7893" t="str">
        <f>T("   200811")</f>
        <v xml:space="preserve">   200811</v>
      </c>
      <c r="B7893" t="str">
        <f>T("   Arachides, préparées ou conservées (sauf confites au sucre)")</f>
        <v xml:space="preserve">   Arachides, préparées ou conservées (sauf confites au sucre)</v>
      </c>
      <c r="C7893">
        <v>68750</v>
      </c>
      <c r="D7893">
        <v>550</v>
      </c>
    </row>
    <row r="7894" spans="1:4" x14ac:dyDescent="0.25">
      <c r="A7894" t="str">
        <f>T("   200990")</f>
        <v xml:space="preserve">   200990</v>
      </c>
      <c r="B7894" t="str">
        <f>T("   MÉLANGES DE JUS DE FRUITS - Y.C. LES MOÛTS DE RAISIN - ET DE JUS DE LÉGUMES, NON-FERMENTÉS, SANS ADDITION D'ALCOOL, AVEC OU SANS ADDITION DE SUCRE OU D'AUTRES ÉDULCORANTS")</f>
        <v xml:space="preserve">   MÉLANGES DE JUS DE FRUITS - Y.C. LES MOÛTS DE RAISIN - ET DE JUS DE LÉGUMES, NON-FERMENTÉS, SANS ADDITION D'ALCOOL, AVEC OU SANS ADDITION DE SUCRE OU D'AUTRES ÉDULCORANTS</v>
      </c>
      <c r="C7894">
        <v>11586002</v>
      </c>
      <c r="D7894">
        <v>68633</v>
      </c>
    </row>
    <row r="7895" spans="1:4" x14ac:dyDescent="0.25">
      <c r="A7895" t="str">
        <f>T("   210210")</f>
        <v xml:space="preserve">   210210</v>
      </c>
      <c r="B7895" t="str">
        <f>T("   Levures vivantes")</f>
        <v xml:space="preserve">   Levures vivantes</v>
      </c>
      <c r="C7895">
        <v>123080</v>
      </c>
      <c r="D7895">
        <v>181</v>
      </c>
    </row>
    <row r="7896" spans="1:4" x14ac:dyDescent="0.25">
      <c r="A7896" t="str">
        <f>T("   210310")</f>
        <v xml:space="preserve">   210310</v>
      </c>
      <c r="B7896" t="str">
        <f>T("   SAUCE DE SOJA")</f>
        <v xml:space="preserve">   SAUCE DE SOJA</v>
      </c>
      <c r="C7896">
        <v>97800</v>
      </c>
      <c r="D7896">
        <v>250</v>
      </c>
    </row>
    <row r="7897" spans="1:4" x14ac:dyDescent="0.25">
      <c r="A7897" t="str">
        <f>T("   210390")</f>
        <v xml:space="preserve">   210390</v>
      </c>
      <c r="B7897" t="str">
        <f>T("   Préparations pour sauces et sauces préparées; condiments et assaisonnements, composés (à l'excl. de la sauce de soja, du tomato ketchup et autres sauces tomates, de la farine de moutarde et de la moutarde préparée)")</f>
        <v xml:space="preserve">   Préparations pour sauces et sauces préparées; condiments et assaisonnements, composés (à l'excl. de la sauce de soja, du tomato ketchup et autres sauces tomates, de la farine de moutarde et de la moutarde préparée)</v>
      </c>
      <c r="C7897">
        <v>5041850</v>
      </c>
      <c r="D7897">
        <v>12780</v>
      </c>
    </row>
    <row r="7898" spans="1:4" x14ac:dyDescent="0.25">
      <c r="A7898" t="str">
        <f>T("   210410")</f>
        <v xml:space="preserve">   210410</v>
      </c>
      <c r="B7898" t="str">
        <f>T("   Préparations pour soupes, potages ou bouillons; soupes, potages ou bouillons préparés")</f>
        <v xml:space="preserve">   Préparations pour soupes, potages ou bouillons; soupes, potages ou bouillons préparés</v>
      </c>
      <c r="C7898">
        <v>562986539</v>
      </c>
      <c r="D7898">
        <v>440625.2</v>
      </c>
    </row>
    <row r="7899" spans="1:4" x14ac:dyDescent="0.25">
      <c r="A7899" t="str">
        <f>T("   210610")</f>
        <v xml:space="preserve">   210610</v>
      </c>
      <c r="B7899" t="str">
        <f>T("   Concentrats de protéines et substances protéiques texturées")</f>
        <v xml:space="preserve">   Concentrats de protéines et substances protéiques texturées</v>
      </c>
      <c r="C7899">
        <v>368000</v>
      </c>
      <c r="D7899">
        <v>300</v>
      </c>
    </row>
    <row r="7900" spans="1:4" x14ac:dyDescent="0.25">
      <c r="A7900" t="str">
        <f>T("   210690")</f>
        <v xml:space="preserve">   210690</v>
      </c>
      <c r="B7900" t="str">
        <f>T("   Préparations alimentaires, n.d.a.")</f>
        <v xml:space="preserve">   Préparations alimentaires, n.d.a.</v>
      </c>
      <c r="C7900">
        <v>1216000</v>
      </c>
      <c r="D7900">
        <v>2905</v>
      </c>
    </row>
    <row r="7901" spans="1:4" x14ac:dyDescent="0.25">
      <c r="A7901" t="str">
        <f>T("   220210")</f>
        <v xml:space="preserve">   220210</v>
      </c>
      <c r="B7901" t="str">
        <f>T("   Eaux, y.c. les eaux minérales et les eaux gazéifiées, additionnées de sucre ou d'autres édulcorants ou aromatisées, directement consommables en l'état en tant que boissons")</f>
        <v xml:space="preserve">   Eaux, y.c. les eaux minérales et les eaux gazéifiées, additionnées de sucre ou d'autres édulcorants ou aromatisées, directement consommables en l'état en tant que boissons</v>
      </c>
      <c r="C7901">
        <v>2815702</v>
      </c>
      <c r="D7901">
        <v>45000</v>
      </c>
    </row>
    <row r="7902" spans="1:4" x14ac:dyDescent="0.25">
      <c r="A7902" t="str">
        <f>T("   220290")</f>
        <v xml:space="preserve">   220290</v>
      </c>
      <c r="B7902" t="str">
        <f>T("   BOISSONS NON-ALCOOLIQUES (À L'EXCL. DES EAUX, DES JUS DE FRUITS OU DE LÉGUMES AINSI QUE DU LAIT)")</f>
        <v xml:space="preserve">   BOISSONS NON-ALCOOLIQUES (À L'EXCL. DES EAUX, DES JUS DE FRUITS OU DE LÉGUMES AINSI QUE DU LAIT)</v>
      </c>
      <c r="C7902">
        <v>165189953</v>
      </c>
      <c r="D7902">
        <v>1709574</v>
      </c>
    </row>
    <row r="7903" spans="1:4" x14ac:dyDescent="0.25">
      <c r="A7903" t="str">
        <f>T("   220300")</f>
        <v xml:space="preserve">   220300</v>
      </c>
      <c r="B7903" t="str">
        <f>T("   Bières de malt")</f>
        <v xml:space="preserve">   Bières de malt</v>
      </c>
      <c r="C7903">
        <v>432778804</v>
      </c>
      <c r="D7903">
        <v>1958524</v>
      </c>
    </row>
    <row r="7904" spans="1:4" x14ac:dyDescent="0.25">
      <c r="A7904" t="str">
        <f>T("   220421")</f>
        <v xml:space="preserve">   220421</v>
      </c>
      <c r="B7904" t="str">
        <f>T("   Vins de raisins frais, y.c. les vins enrichis en alcool (à l'excl. des vins mousseux); moûts de raisins dont la fermentation a été empêchée ou arrêtée par addition d'alcool, en récipients d'une contenance &lt;= 2 l")</f>
        <v xml:space="preserve">   Vins de raisins frais, y.c. les vins enrichis en alcool (à l'excl. des vins mousseux); moûts de raisins dont la fermentation a été empêchée ou arrêtée par addition d'alcool, en récipients d'une contenance &lt;= 2 l</v>
      </c>
      <c r="C7904">
        <v>507100</v>
      </c>
      <c r="D7904">
        <v>500</v>
      </c>
    </row>
    <row r="7905" spans="1:4" x14ac:dyDescent="0.25">
      <c r="A7905" t="str">
        <f>T("   230230")</f>
        <v xml:space="preserve">   230230</v>
      </c>
      <c r="B7905" t="str">
        <f>T("   Sons, remoulages et autres résidus, même agglomérés sous forme de pellets, du criblage, de la mouture ou d'autres traitements du froment")</f>
        <v xml:space="preserve">   Sons, remoulages et autres résidus, même agglomérés sous forme de pellets, du criblage, de la mouture ou d'autres traitements du froment</v>
      </c>
      <c r="C7905">
        <v>4438843</v>
      </c>
      <c r="D7905">
        <v>276950</v>
      </c>
    </row>
    <row r="7906" spans="1:4" x14ac:dyDescent="0.25">
      <c r="A7906" t="str">
        <f>T("   240130")</f>
        <v xml:space="preserve">   240130</v>
      </c>
      <c r="B7906" t="str">
        <f>T("   Déchets de tabac")</f>
        <v xml:space="preserve">   Déchets de tabac</v>
      </c>
      <c r="C7906">
        <v>430180</v>
      </c>
      <c r="D7906">
        <v>274</v>
      </c>
    </row>
    <row r="7907" spans="1:4" x14ac:dyDescent="0.25">
      <c r="A7907" t="str">
        <f>T("   240220")</f>
        <v xml:space="preserve">   240220</v>
      </c>
      <c r="B7907" t="str">
        <f>T("   Cigarettes contenant du tabac")</f>
        <v xml:space="preserve">   Cigarettes contenant du tabac</v>
      </c>
      <c r="C7907">
        <v>801450931</v>
      </c>
      <c r="D7907">
        <v>339420</v>
      </c>
    </row>
    <row r="7908" spans="1:4" x14ac:dyDescent="0.25">
      <c r="A7908" t="str">
        <f>T("   250100")</f>
        <v xml:space="preserve">   250100</v>
      </c>
      <c r="B7908" t="s">
        <v>60</v>
      </c>
      <c r="C7908">
        <v>593750</v>
      </c>
      <c r="D7908">
        <v>23750</v>
      </c>
    </row>
    <row r="7909" spans="1:4" x14ac:dyDescent="0.25">
      <c r="A7909" t="str">
        <f>T("   250590")</f>
        <v xml:space="preserve">   250590</v>
      </c>
      <c r="B7909" t="str">
        <f>T("   Sables naturels de toute espèce, même colorés (à l'excl. des sables aurifères, platinifères, monazités, bitumineux, asphaltiques, siliceux ou quartzeux ainsi que des sables de zircon, de rutile ou d'ilménite)")</f>
        <v xml:space="preserve">   Sables naturels de toute espèce, même colorés (à l'excl. des sables aurifères, platinifères, monazités, bitumineux, asphaltiques, siliceux ou quartzeux ainsi que des sables de zircon, de rutile ou d'ilménite)</v>
      </c>
      <c r="C7909">
        <v>1261250</v>
      </c>
      <c r="D7909">
        <v>50450</v>
      </c>
    </row>
    <row r="7910" spans="1:4" x14ac:dyDescent="0.25">
      <c r="A7910" t="str">
        <f>T("   250700")</f>
        <v xml:space="preserve">   250700</v>
      </c>
      <c r="B7910" t="str">
        <f>T("   Kaolin et autres argiles kaoliniques, même calcinés")</f>
        <v xml:space="preserve">   Kaolin et autres argiles kaoliniques, même calcinés</v>
      </c>
      <c r="C7910">
        <v>2860650</v>
      </c>
      <c r="D7910">
        <v>21190</v>
      </c>
    </row>
    <row r="7911" spans="1:4" x14ac:dyDescent="0.25">
      <c r="A7911" t="str">
        <f>T("   271000")</f>
        <v xml:space="preserve">   271000</v>
      </c>
      <c r="B7911" t="str">
        <f>T("   HUILES DE PETROLE OU DE MINERAUX BITUMINEUX (AUTRES QUE LES HUILES BRUTES); PRÉPARATIONS N.D.A. CONTENANT EN POIDS &gt;= 70% D'HUILES DE PETROLE OU DE MINERAUX BITUMINEUX ET DONT CES HUILES CONSTITUENT L'ELEMENT DE BASE")</f>
        <v xml:space="preserve">   HUILES DE PETROLE OU DE MINERAUX BITUMINEUX (AUTRES QUE LES HUILES BRUTES); PRÉPARATIONS N.D.A. CONTENANT EN POIDS &gt;= 70% D'HUILES DE PETROLE OU DE MINERAUX BITUMINEUX ET DONT CES HUILES CONSTITUENT L'ELEMENT DE BASE</v>
      </c>
      <c r="C7911">
        <v>1589895</v>
      </c>
      <c r="D7911">
        <v>4105</v>
      </c>
    </row>
    <row r="7912" spans="1:4" x14ac:dyDescent="0.25">
      <c r="A7912" t="str">
        <f>T("   271011")</f>
        <v xml:space="preserve">   271011</v>
      </c>
      <c r="B7912" t="str">
        <f>T("   HUILES LÉGÈRES ET PRÉPARATIONS DE PÉTROLE OU DE MINÉRAUX BITUMINEUX DISTILLANT EN VOLUME, Y.C. LES PERTES, &gt;= 90% À 210°C, D'APRÈS LA MÉTHODE ASTM D 86")</f>
        <v xml:space="preserve">   HUILES LÉGÈRES ET PRÉPARATIONS DE PÉTROLE OU DE MINÉRAUX BITUMINEUX DISTILLANT EN VOLUME, Y.C. LES PERTES, &gt;= 90% À 210°C, D'APRÈS LA MÉTHODE ASTM D 86</v>
      </c>
      <c r="C7912">
        <v>8938963638</v>
      </c>
      <c r="D7912">
        <v>31977785</v>
      </c>
    </row>
    <row r="7913" spans="1:4" x14ac:dyDescent="0.25">
      <c r="A7913" t="str">
        <f>T("   271019")</f>
        <v xml:space="preserve">   271019</v>
      </c>
      <c r="B7913" t="str">
        <f>T("   Huiles moyennes et préparations, de pétrole ou de minéraux bitumineux, n.d.a.")</f>
        <v xml:space="preserve">   Huiles moyennes et préparations, de pétrole ou de minéraux bitumineux, n.d.a.</v>
      </c>
      <c r="C7913">
        <v>12126770433</v>
      </c>
      <c r="D7913">
        <v>56835698</v>
      </c>
    </row>
    <row r="7914" spans="1:4" x14ac:dyDescent="0.25">
      <c r="A7914" t="str">
        <f>T("   271113")</f>
        <v xml:space="preserve">   271113</v>
      </c>
      <c r="B7914" t="str">
        <f>T("   Butanes, liquéfiés (à l'excl. des butanes d'une pureté &gt;= 95% en n-butane ou en isobutane)")</f>
        <v xml:space="preserve">   Butanes, liquéfiés (à l'excl. des butanes d'une pureté &gt;= 95% en n-butane ou en isobutane)</v>
      </c>
      <c r="C7914">
        <v>322297094</v>
      </c>
      <c r="D7914">
        <v>1797263</v>
      </c>
    </row>
    <row r="7915" spans="1:4" x14ac:dyDescent="0.25">
      <c r="A7915" t="str">
        <f>T("   271129")</f>
        <v xml:space="preserve">   271129</v>
      </c>
      <c r="B7915" t="str">
        <f>T("   Hydrocarbures à l'état gazeux, n.d.a. (à l'excl. du gaz naturel)")</f>
        <v xml:space="preserve">   Hydrocarbures à l'état gazeux, n.d.a. (à l'excl. du gaz naturel)</v>
      </c>
      <c r="C7915">
        <v>590364</v>
      </c>
      <c r="D7915">
        <v>7000</v>
      </c>
    </row>
    <row r="7916" spans="1:4" x14ac:dyDescent="0.25">
      <c r="A7916" t="str">
        <f>T("   280110")</f>
        <v xml:space="preserve">   280110</v>
      </c>
      <c r="B7916" t="str">
        <f>T("   Chlore")</f>
        <v xml:space="preserve">   Chlore</v>
      </c>
      <c r="C7916">
        <v>634500</v>
      </c>
      <c r="D7916">
        <v>4470</v>
      </c>
    </row>
    <row r="7917" spans="1:4" x14ac:dyDescent="0.25">
      <c r="A7917" t="str">
        <f>T("   280429")</f>
        <v xml:space="preserve">   280429</v>
      </c>
      <c r="B7917" t="str">
        <f>T("   Gaz rares (à l'excl. de l'argon)")</f>
        <v xml:space="preserve">   Gaz rares (à l'excl. de l'argon)</v>
      </c>
      <c r="C7917">
        <v>20125000</v>
      </c>
      <c r="D7917">
        <v>112700</v>
      </c>
    </row>
    <row r="7918" spans="1:4" x14ac:dyDescent="0.25">
      <c r="A7918" t="str">
        <f>T("   280440")</f>
        <v xml:space="preserve">   280440</v>
      </c>
      <c r="B7918" t="str">
        <f>T("   Oxygène")</f>
        <v xml:space="preserve">   Oxygène</v>
      </c>
      <c r="C7918">
        <v>2783000</v>
      </c>
      <c r="D7918">
        <v>14260</v>
      </c>
    </row>
    <row r="7919" spans="1:4" x14ac:dyDescent="0.25">
      <c r="A7919" t="str">
        <f>T("   280610")</f>
        <v xml:space="preserve">   280610</v>
      </c>
      <c r="B7919" t="str">
        <f>T("   Chlorure d'hydrogène [acide chlorhydrique]")</f>
        <v xml:space="preserve">   Chlorure d'hydrogène [acide chlorhydrique]</v>
      </c>
      <c r="C7919">
        <v>2159250</v>
      </c>
      <c r="D7919">
        <v>7555</v>
      </c>
    </row>
    <row r="7920" spans="1:4" x14ac:dyDescent="0.25">
      <c r="A7920" t="str">
        <f>T("   281119")</f>
        <v xml:space="preserve">   281119</v>
      </c>
      <c r="B7920" t="s">
        <v>62</v>
      </c>
      <c r="C7920">
        <v>1687500</v>
      </c>
      <c r="D7920">
        <v>6650</v>
      </c>
    </row>
    <row r="7921" spans="1:4" x14ac:dyDescent="0.25">
      <c r="A7921" t="str">
        <f>T("   281129")</f>
        <v xml:space="preserve">   281129</v>
      </c>
      <c r="B7921" t="str">
        <f>T("   COMPOSÉS OXYGÉNÉS INORGANIQUES DES ÉLÉMENTS NON-MÉTALLIQUES (À L'EXCL. DU PENTAOXYDE DE DIPHOSPHORE, DES OXYDES DE BORE AINSI QUE DES DIOXYDES DE CARBONE OU DE SILICIUM)")</f>
        <v xml:space="preserve">   COMPOSÉS OXYGÉNÉS INORGANIQUES DES ÉLÉMENTS NON-MÉTALLIQUES (À L'EXCL. DU PENTAOXYDE DE DIPHOSPHORE, DES OXYDES DE BORE AINSI QUE DES DIOXYDES DE CARBONE OU DE SILICIUM)</v>
      </c>
      <c r="C7921">
        <v>512000</v>
      </c>
      <c r="D7921">
        <v>2050</v>
      </c>
    </row>
    <row r="7922" spans="1:4" x14ac:dyDescent="0.25">
      <c r="A7922" t="str">
        <f>T("   281511")</f>
        <v xml:space="preserve">   281511</v>
      </c>
      <c r="B7922" t="str">
        <f>T("   Hydroxyde de sodium [soude caustique], solide")</f>
        <v xml:space="preserve">   Hydroxyde de sodium [soude caustique], solide</v>
      </c>
      <c r="C7922">
        <v>14847840</v>
      </c>
      <c r="D7922">
        <v>207574</v>
      </c>
    </row>
    <row r="7923" spans="1:4" x14ac:dyDescent="0.25">
      <c r="A7923" t="str">
        <f>T("   281512")</f>
        <v xml:space="preserve">   281512</v>
      </c>
      <c r="B7923" t="str">
        <f>T("   Hydroxyde de sodium en solution aqueuse [lessive de soude caustique]")</f>
        <v xml:space="preserve">   Hydroxyde de sodium en solution aqueuse [lessive de soude caustique]</v>
      </c>
      <c r="C7923">
        <v>1438200</v>
      </c>
      <c r="D7923">
        <v>7950</v>
      </c>
    </row>
    <row r="7924" spans="1:4" x14ac:dyDescent="0.25">
      <c r="A7924" t="str">
        <f>T("   282720")</f>
        <v xml:space="preserve">   282720</v>
      </c>
      <c r="B7924" t="str">
        <f>T("   Chlorure de calcium")</f>
        <v xml:space="preserve">   Chlorure de calcium</v>
      </c>
      <c r="C7924">
        <v>465000</v>
      </c>
      <c r="D7924">
        <v>5825</v>
      </c>
    </row>
    <row r="7925" spans="1:4" x14ac:dyDescent="0.25">
      <c r="A7925" t="str">
        <f>T("   282739")</f>
        <v xml:space="preserve">   282739</v>
      </c>
      <c r="B7925" t="str">
        <f>T("   CHLORURES (À L'EXCL. DES CHLORURES D'AMMONIUM, DE CALCIUM, DE MAGNÉSIUM, D'ALUMINIUM, DE NICKEL ET DE MERCURE)")</f>
        <v xml:space="preserve">   CHLORURES (À L'EXCL. DES CHLORURES D'AMMONIUM, DE CALCIUM, DE MAGNÉSIUM, D'ALUMINIUM, DE NICKEL ET DE MERCURE)</v>
      </c>
      <c r="C7925">
        <v>22500</v>
      </c>
      <c r="D7925">
        <v>150</v>
      </c>
    </row>
    <row r="7926" spans="1:4" x14ac:dyDescent="0.25">
      <c r="A7926" t="str">
        <f>T("   282810")</f>
        <v xml:space="preserve">   282810</v>
      </c>
      <c r="B7926" t="str">
        <f>T("   Hypochlorites de calcium, y.c. l'hypochlorite de calcium du commerce")</f>
        <v xml:space="preserve">   Hypochlorites de calcium, y.c. l'hypochlorite de calcium du commerce</v>
      </c>
      <c r="C7926">
        <v>27000</v>
      </c>
      <c r="D7926">
        <v>360</v>
      </c>
    </row>
    <row r="7927" spans="1:4" x14ac:dyDescent="0.25">
      <c r="A7927" t="str">
        <f>T("   282890")</f>
        <v xml:space="preserve">   282890</v>
      </c>
      <c r="B7927" t="str">
        <f>T("   Hypochlorites, chlorites et hypobromites (à l'excl. des hypochlorites de calcium)")</f>
        <v xml:space="preserve">   Hypochlorites, chlorites et hypobromites (à l'excl. des hypochlorites de calcium)</v>
      </c>
      <c r="C7927">
        <v>35272075</v>
      </c>
      <c r="D7927">
        <v>123316</v>
      </c>
    </row>
    <row r="7928" spans="1:4" x14ac:dyDescent="0.25">
      <c r="A7928" t="str">
        <f>T("   283330")</f>
        <v xml:space="preserve">   283330</v>
      </c>
      <c r="B7928" t="str">
        <f>T("   Aluns")</f>
        <v xml:space="preserve">   Aluns</v>
      </c>
      <c r="C7928">
        <v>396000</v>
      </c>
      <c r="D7928">
        <v>1980</v>
      </c>
    </row>
    <row r="7929" spans="1:4" x14ac:dyDescent="0.25">
      <c r="A7929" t="str">
        <f>T("   283630")</f>
        <v xml:space="preserve">   283630</v>
      </c>
      <c r="B7929" t="str">
        <f>T("   Hydrogénocarbonate [bicarbonate] de sodium")</f>
        <v xml:space="preserve">   Hydrogénocarbonate [bicarbonate] de sodium</v>
      </c>
      <c r="C7929">
        <v>37500</v>
      </c>
      <c r="D7929">
        <v>250</v>
      </c>
    </row>
    <row r="7930" spans="1:4" x14ac:dyDescent="0.25">
      <c r="A7930" t="str">
        <f>T("   283650")</f>
        <v xml:space="preserve">   283650</v>
      </c>
      <c r="B7930" t="str">
        <f>T("   Carbonate de calcium")</f>
        <v xml:space="preserve">   Carbonate de calcium</v>
      </c>
      <c r="C7930">
        <v>8236671</v>
      </c>
      <c r="D7930">
        <v>100000</v>
      </c>
    </row>
    <row r="7931" spans="1:4" x14ac:dyDescent="0.25">
      <c r="A7931" t="str">
        <f>T("   284700")</f>
        <v xml:space="preserve">   284700</v>
      </c>
      <c r="B7931" t="str">
        <f>T("   Peroxyde d'hydrogène [eau oxygénée], même solidifié avec de l'urée")</f>
        <v xml:space="preserve">   Peroxyde d'hydrogène [eau oxygénée], même solidifié avec de l'urée</v>
      </c>
      <c r="C7931">
        <v>50460</v>
      </c>
      <c r="D7931">
        <v>58</v>
      </c>
    </row>
    <row r="7932" spans="1:4" x14ac:dyDescent="0.25">
      <c r="A7932" t="str">
        <f>T("   284990")</f>
        <v xml:space="preserve">   284990</v>
      </c>
      <c r="B7932" t="str">
        <f>T("   Carbures, de constitution chimique définie ou non (à l'excl. des carbures de calcium et de silicium)")</f>
        <v xml:space="preserve">   Carbures, de constitution chimique définie ou non (à l'excl. des carbures de calcium et de silicium)</v>
      </c>
      <c r="C7932">
        <v>1535000</v>
      </c>
      <c r="D7932">
        <v>10150</v>
      </c>
    </row>
    <row r="7933" spans="1:4" x14ac:dyDescent="0.25">
      <c r="A7933" t="str">
        <f>T("   294200")</f>
        <v xml:space="preserve">   294200</v>
      </c>
      <c r="B7933" t="str">
        <f>T("   Composés organiques de constitution chimique définie présentés isolément, n.d.a.")</f>
        <v xml:space="preserve">   Composés organiques de constitution chimique définie présentés isolément, n.d.a.</v>
      </c>
      <c r="C7933">
        <v>256000</v>
      </c>
      <c r="D7933">
        <v>1300</v>
      </c>
    </row>
    <row r="7934" spans="1:4" x14ac:dyDescent="0.25">
      <c r="A7934" t="str">
        <f>T("   300610")</f>
        <v xml:space="preserve">   300610</v>
      </c>
      <c r="B7934" t="s">
        <v>80</v>
      </c>
      <c r="C7934">
        <v>78000</v>
      </c>
      <c r="D7934">
        <v>78</v>
      </c>
    </row>
    <row r="7935" spans="1:4" x14ac:dyDescent="0.25">
      <c r="A7935" t="str">
        <f>T("   300670")</f>
        <v xml:space="preserve">   300670</v>
      </c>
      <c r="B7935" t="s">
        <v>81</v>
      </c>
      <c r="C7935">
        <v>225000</v>
      </c>
      <c r="D7935">
        <v>45</v>
      </c>
    </row>
    <row r="7936" spans="1:4" x14ac:dyDescent="0.25">
      <c r="A7936" t="str">
        <f>T("   310520")</f>
        <v xml:space="preserve">   310520</v>
      </c>
      <c r="B7936" t="str">
        <f>T("   Engrais minéraux ou chimiques contenant les trois éléments fertilisants : azote, phosphore et potassium (à l'excl. des produits présentés soit en tablettes ou formes simil., soit en emballages d'un poids brut &lt;= 10 kg)")</f>
        <v xml:space="preserve">   Engrais minéraux ou chimiques contenant les trois éléments fertilisants : azote, phosphore et potassium (à l'excl. des produits présentés soit en tablettes ou formes simil., soit en emballages d'un poids brut &lt;= 10 kg)</v>
      </c>
      <c r="C7936">
        <v>6302500</v>
      </c>
      <c r="D7936">
        <v>252100</v>
      </c>
    </row>
    <row r="7937" spans="1:4" x14ac:dyDescent="0.25">
      <c r="A7937" t="str">
        <f>T("   310540")</f>
        <v xml:space="preserve">   310540</v>
      </c>
      <c r="B7937" t="s">
        <v>83</v>
      </c>
      <c r="C7937">
        <v>29625</v>
      </c>
      <c r="D7937">
        <v>75</v>
      </c>
    </row>
    <row r="7938" spans="1:4" x14ac:dyDescent="0.25">
      <c r="A7938" t="str">
        <f>T("   320300")</f>
        <v xml:space="preserve">   320300</v>
      </c>
      <c r="B7938" t="s">
        <v>85</v>
      </c>
      <c r="C7938">
        <v>453000</v>
      </c>
      <c r="D7938">
        <v>200</v>
      </c>
    </row>
    <row r="7939" spans="1:4" x14ac:dyDescent="0.25">
      <c r="A7939" t="str">
        <f>T("   320820")</f>
        <v xml:space="preserve">   320820</v>
      </c>
      <c r="B7939" t="s">
        <v>95</v>
      </c>
      <c r="C7939">
        <v>1994400</v>
      </c>
      <c r="D7939">
        <v>3330</v>
      </c>
    </row>
    <row r="7940" spans="1:4" x14ac:dyDescent="0.25">
      <c r="A7940" t="str">
        <f>T("   320910")</f>
        <v xml:space="preserve">   320910</v>
      </c>
      <c r="B7940" t="str">
        <f>T("   Peintures et vernis à base de polymères acryliques ou vinyliques, dispersés ou dissous dans un milieu aqueux")</f>
        <v xml:space="preserve">   Peintures et vernis à base de polymères acryliques ou vinyliques, dispersés ou dissous dans un milieu aqueux</v>
      </c>
      <c r="C7940">
        <v>1209510</v>
      </c>
      <c r="D7940">
        <v>2864</v>
      </c>
    </row>
    <row r="7941" spans="1:4" x14ac:dyDescent="0.25">
      <c r="A7941" t="str">
        <f>T("   321519")</f>
        <v xml:space="preserve">   321519</v>
      </c>
      <c r="B7941" t="str">
        <f>T("   Encres d'imprimerie, même concentrées ou sous formes solides (à l'excl. des encres noires)")</f>
        <v xml:space="preserve">   Encres d'imprimerie, même concentrées ou sous formes solides (à l'excl. des encres noires)</v>
      </c>
      <c r="C7941">
        <v>1958000</v>
      </c>
      <c r="D7941">
        <v>2840</v>
      </c>
    </row>
    <row r="7942" spans="1:4" x14ac:dyDescent="0.25">
      <c r="A7942" t="str">
        <f>T("   330420")</f>
        <v xml:space="preserve">   330420</v>
      </c>
      <c r="B7942" t="str">
        <f>T("   Produits de maquillage pour les yeux")</f>
        <v xml:space="preserve">   Produits de maquillage pour les yeux</v>
      </c>
      <c r="C7942">
        <v>1537650</v>
      </c>
      <c r="D7942">
        <v>1809</v>
      </c>
    </row>
    <row r="7943" spans="1:4" x14ac:dyDescent="0.25">
      <c r="A7943" t="str">
        <f>T("   330491")</f>
        <v xml:space="preserve">   330491</v>
      </c>
      <c r="B7943" t="str">
        <f>T("   Poudres pour le maquillage ou l'entretien ou les soins de la peau, y.c. les poudres pour bébés et les poudres compactes (à l'excl. des médicaments)")</f>
        <v xml:space="preserve">   Poudres pour le maquillage ou l'entretien ou les soins de la peau, y.c. les poudres pour bébés et les poudres compactes (à l'excl. des médicaments)</v>
      </c>
      <c r="C7943">
        <v>148000</v>
      </c>
      <c r="D7943">
        <v>185</v>
      </c>
    </row>
    <row r="7944" spans="1:4" x14ac:dyDescent="0.25">
      <c r="A7944" t="str">
        <f>T("   330499")</f>
        <v xml:space="preserve">   330499</v>
      </c>
      <c r="B7944" t="s">
        <v>100</v>
      </c>
      <c r="C7944">
        <v>115918924</v>
      </c>
      <c r="D7944">
        <v>124625</v>
      </c>
    </row>
    <row r="7945" spans="1:4" x14ac:dyDescent="0.25">
      <c r="A7945" t="str">
        <f>T("   330610")</f>
        <v xml:space="preserve">   330610</v>
      </c>
      <c r="B7945" t="str">
        <f>T("   Dentifrices, préparés, même des types utilisés par les dentistes")</f>
        <v xml:space="preserve">   Dentifrices, préparés, même des types utilisés par les dentistes</v>
      </c>
      <c r="C7945">
        <v>670000</v>
      </c>
      <c r="D7945">
        <v>1340</v>
      </c>
    </row>
    <row r="7946" spans="1:4" x14ac:dyDescent="0.25">
      <c r="A7946" t="str">
        <f>T("   330720")</f>
        <v xml:space="preserve">   330720</v>
      </c>
      <c r="B7946" t="str">
        <f>T("   Désodorisants corporels et antisudoraux, préparés")</f>
        <v xml:space="preserve">   Désodorisants corporels et antisudoraux, préparés</v>
      </c>
      <c r="C7946">
        <v>135000</v>
      </c>
      <c r="D7946">
        <v>135</v>
      </c>
    </row>
    <row r="7947" spans="1:4" x14ac:dyDescent="0.25">
      <c r="A7947" t="str">
        <f>T("   330749")</f>
        <v xml:space="preserve">   330749</v>
      </c>
      <c r="B7947" t="str">
        <f>T("   Préparations pour parfumer ou pour désodoriser les locaux, y.c. les préparations odoriférantes pour cérémonies religieuses (à l'excl. de l'agarbatti et des autres préparations odoriférantes agissant par combustion)")</f>
        <v xml:space="preserve">   Préparations pour parfumer ou pour désodoriser les locaux, y.c. les préparations odoriférantes pour cérémonies religieuses (à l'excl. de l'agarbatti et des autres préparations odoriférantes agissant par combustion)</v>
      </c>
      <c r="C7947">
        <v>403300</v>
      </c>
      <c r="D7947">
        <v>658</v>
      </c>
    </row>
    <row r="7948" spans="1:4" x14ac:dyDescent="0.25">
      <c r="A7948" t="str">
        <f>T("   330790")</f>
        <v xml:space="preserve">   330790</v>
      </c>
      <c r="B7948" t="str">
        <f>T("   Dépilatoires, autres produits de parfumerie ou de toilette préparés et autres préparations cosmétiques, n.d.a.")</f>
        <v xml:space="preserve">   Dépilatoires, autres produits de parfumerie ou de toilette préparés et autres préparations cosmétiques, n.d.a.</v>
      </c>
      <c r="C7948">
        <v>152000</v>
      </c>
      <c r="D7948">
        <v>190</v>
      </c>
    </row>
    <row r="7949" spans="1:4" x14ac:dyDescent="0.25">
      <c r="A7949" t="str">
        <f>T("   340111")</f>
        <v xml:space="preserve">   340111</v>
      </c>
      <c r="B7949" t="s">
        <v>101</v>
      </c>
      <c r="C7949">
        <v>7707893</v>
      </c>
      <c r="D7949">
        <v>12381</v>
      </c>
    </row>
    <row r="7950" spans="1:4" x14ac:dyDescent="0.25">
      <c r="A7950" t="str">
        <f>T("   340119")</f>
        <v xml:space="preserve">   340119</v>
      </c>
      <c r="B7950" t="s">
        <v>102</v>
      </c>
      <c r="C7950">
        <v>22557800</v>
      </c>
      <c r="D7950">
        <v>45046</v>
      </c>
    </row>
    <row r="7951" spans="1:4" x14ac:dyDescent="0.25">
      <c r="A7951" t="str">
        <f>T("   340120")</f>
        <v xml:space="preserve">   340120</v>
      </c>
      <c r="B7951" t="str">
        <f>T("   Savons en flocons, en paillettes, en granulés ou en poudres et savons liquides ou pâteux")</f>
        <v xml:space="preserve">   Savons en flocons, en paillettes, en granulés ou en poudres et savons liquides ou pâteux</v>
      </c>
      <c r="C7951">
        <v>573574</v>
      </c>
      <c r="D7951">
        <v>1456</v>
      </c>
    </row>
    <row r="7952" spans="1:4" x14ac:dyDescent="0.25">
      <c r="A7952" t="str">
        <f>T("   340130")</f>
        <v xml:space="preserve">   340130</v>
      </c>
      <c r="B7952" t="str">
        <f>T("   Produits et préparations organiques tensio-actifs destinés au lavage de la peau, sous forme de liquide ou de crème, conditionnés pour la vente au détail, même contenant  du savon")</f>
        <v xml:space="preserve">   Produits et préparations organiques tensio-actifs destinés au lavage de la peau, sous forme de liquide ou de crème, conditionnés pour la vente au détail, même contenant  du savon</v>
      </c>
      <c r="C7952">
        <v>41250</v>
      </c>
      <c r="D7952">
        <v>165</v>
      </c>
    </row>
    <row r="7953" spans="1:4" x14ac:dyDescent="0.25">
      <c r="A7953" t="str">
        <f>T("   340220")</f>
        <v xml:space="preserve">   340220</v>
      </c>
      <c r="B7953" t="s">
        <v>103</v>
      </c>
      <c r="C7953">
        <v>32076152</v>
      </c>
      <c r="D7953">
        <v>138406</v>
      </c>
    </row>
    <row r="7954" spans="1:4" x14ac:dyDescent="0.25">
      <c r="A7954" t="str">
        <f>T("   340290")</f>
        <v xml:space="preserve">   340290</v>
      </c>
      <c r="B7954" t="s">
        <v>104</v>
      </c>
      <c r="C7954">
        <v>18750</v>
      </c>
      <c r="D7954">
        <v>75</v>
      </c>
    </row>
    <row r="7955" spans="1:4" x14ac:dyDescent="0.25">
      <c r="A7955" t="str">
        <f>T("   340510")</f>
        <v xml:space="preserve">   340510</v>
      </c>
      <c r="B7955" t="s">
        <v>108</v>
      </c>
      <c r="C7955">
        <v>29750</v>
      </c>
      <c r="D7955">
        <v>50</v>
      </c>
    </row>
    <row r="7956" spans="1:4" x14ac:dyDescent="0.25">
      <c r="A7956" t="str">
        <f>T("   340540")</f>
        <v xml:space="preserve">   340540</v>
      </c>
      <c r="B7956" t="str">
        <f>T("   Pâtes, poudres et autres préparations à récurer, même sous forme de papier, ouates, feutres, nontissés, matière plastique ou caoutchouc alvéolaires, imprégnés, enduits ou recouverts de ces préparations")</f>
        <v xml:space="preserve">   Pâtes, poudres et autres préparations à récurer, même sous forme de papier, ouates, feutres, nontissés, matière plastique ou caoutchouc alvéolaires, imprégnés, enduits ou recouverts de ces préparations</v>
      </c>
      <c r="C7956">
        <v>189600</v>
      </c>
      <c r="D7956">
        <v>480</v>
      </c>
    </row>
    <row r="7957" spans="1:4" x14ac:dyDescent="0.25">
      <c r="A7957" t="str">
        <f>T("   340600")</f>
        <v xml:space="preserve">   340600</v>
      </c>
      <c r="B7957" t="str">
        <f>T("   Bougies, chandelles, cierges et articles simil.")</f>
        <v xml:space="preserve">   Bougies, chandelles, cierges et articles simil.</v>
      </c>
      <c r="C7957">
        <v>22119710</v>
      </c>
      <c r="D7957">
        <v>51884</v>
      </c>
    </row>
    <row r="7958" spans="1:4" x14ac:dyDescent="0.25">
      <c r="A7958" t="str">
        <f>T("   350510")</f>
        <v xml:space="preserve">   350510</v>
      </c>
      <c r="B7958" t="str">
        <f>T("   DEXTRINE ET AUTRES AMIDONS ET FÉCULES MODIFIÉS [LES AMIDONS ET FÉCULES PRÉ-GÉLATINISÉS OU ESTÉRIFIÉS, P.EX.]")</f>
        <v xml:space="preserve">   DEXTRINE ET AUTRES AMIDONS ET FÉCULES MODIFIÉS [LES AMIDONS ET FÉCULES PRÉ-GÉLATINISÉS OU ESTÉRIFIÉS, P.EX.]</v>
      </c>
      <c r="C7958">
        <v>45000</v>
      </c>
      <c r="D7958">
        <v>150</v>
      </c>
    </row>
    <row r="7959" spans="1:4" x14ac:dyDescent="0.25">
      <c r="A7959" t="str">
        <f>T("   350610")</f>
        <v xml:space="preserve">   350610</v>
      </c>
      <c r="B7959" t="str">
        <f>T("   Produits de toute espèce à usage de colles ou d'adhésifs, conditionnés pour la vente au détail comme colles ou adhésifs, d'un poids net &lt;= 1 kg")</f>
        <v xml:space="preserve">   Produits de toute espèce à usage de colles ou d'adhésifs, conditionnés pour la vente au détail comme colles ou adhésifs, d'un poids net &lt;= 1 kg</v>
      </c>
      <c r="C7959">
        <v>8395980</v>
      </c>
      <c r="D7959">
        <v>10786</v>
      </c>
    </row>
    <row r="7960" spans="1:4" x14ac:dyDescent="0.25">
      <c r="A7960" t="str">
        <f>T("   360500")</f>
        <v xml:space="preserve">   360500</v>
      </c>
      <c r="B7960" t="str">
        <f>T("   Allumettes (autres que les articles de pyrotechnie du n° 3604)")</f>
        <v xml:space="preserve">   Allumettes (autres que les articles de pyrotechnie du n° 3604)</v>
      </c>
      <c r="C7960">
        <v>421600</v>
      </c>
      <c r="D7960">
        <v>688</v>
      </c>
    </row>
    <row r="7961" spans="1:4" x14ac:dyDescent="0.25">
      <c r="A7961" t="str">
        <f>T("   360690")</f>
        <v xml:space="preserve">   360690</v>
      </c>
      <c r="B7961" t="s">
        <v>111</v>
      </c>
      <c r="C7961">
        <v>25800</v>
      </c>
      <c r="D7961">
        <v>86</v>
      </c>
    </row>
    <row r="7962" spans="1:4" x14ac:dyDescent="0.25">
      <c r="A7962" t="str">
        <f>T("   370295")</f>
        <v xml:space="preserve">   370295</v>
      </c>
      <c r="B7962" t="s">
        <v>116</v>
      </c>
      <c r="C7962">
        <v>82000</v>
      </c>
      <c r="D7962">
        <v>63</v>
      </c>
    </row>
    <row r="7963" spans="1:4" x14ac:dyDescent="0.25">
      <c r="A7963" t="str">
        <f>T("   380810")</f>
        <v xml:space="preserve">   380810</v>
      </c>
      <c r="B7963" t="str">
        <f>T("   Insecticides présentés dans des formes ou emballages de vente au détail ou à l'état de préparations ou sous forme d'articles")</f>
        <v xml:space="preserve">   Insecticides présentés dans des formes ou emballages de vente au détail ou à l'état de préparations ou sous forme d'articles</v>
      </c>
      <c r="C7963">
        <v>28530772</v>
      </c>
      <c r="D7963">
        <v>177321</v>
      </c>
    </row>
    <row r="7964" spans="1:4" x14ac:dyDescent="0.25">
      <c r="A7964" t="str">
        <f>T("   380840")</f>
        <v xml:space="preserve">   380840</v>
      </c>
      <c r="B7964" t="str">
        <f>T("   Désinfectants et produits simil., présentés dans des formes ou emballages de vente au détail ou à l'état de préparations ou sous forme d'articles")</f>
        <v xml:space="preserve">   Désinfectants et produits simil., présentés dans des formes ou emballages de vente au détail ou à l'état de préparations ou sous forme d'articles</v>
      </c>
      <c r="C7964">
        <v>106570</v>
      </c>
      <c r="D7964">
        <v>90</v>
      </c>
    </row>
    <row r="7965" spans="1:4" x14ac:dyDescent="0.25">
      <c r="A7965" t="str">
        <f>T("   381400")</f>
        <v xml:space="preserve">   381400</v>
      </c>
      <c r="B7965" t="str">
        <f>T("   Solvants et diluants organiques composites, n.d.a.; préparations conçues pour enlever les peintures ou les vernis (à l'excl. des dissolvants pour vernis à ongles)")</f>
        <v xml:space="preserve">   Solvants et diluants organiques composites, n.d.a.; préparations conçues pour enlever les peintures ou les vernis (à l'excl. des dissolvants pour vernis à ongles)</v>
      </c>
      <c r="C7965">
        <v>369200</v>
      </c>
      <c r="D7965">
        <v>670</v>
      </c>
    </row>
    <row r="7966" spans="1:4" x14ac:dyDescent="0.25">
      <c r="A7966" t="str">
        <f>T("   382440")</f>
        <v xml:space="preserve">   382440</v>
      </c>
      <c r="B7966" t="str">
        <f>T("   Additifs préparés pour ciments, mortiers ou bétons")</f>
        <v xml:space="preserve">   Additifs préparés pour ciments, mortiers ou bétons</v>
      </c>
      <c r="C7966">
        <v>3693391</v>
      </c>
      <c r="D7966">
        <v>50000</v>
      </c>
    </row>
    <row r="7967" spans="1:4" x14ac:dyDescent="0.25">
      <c r="A7967" t="str">
        <f>T("   390210")</f>
        <v xml:space="preserve">   390210</v>
      </c>
      <c r="B7967" t="str">
        <f>T("   Polypropylène, sous formes primaires")</f>
        <v xml:space="preserve">   Polypropylène, sous formes primaires</v>
      </c>
      <c r="C7967">
        <v>35905200</v>
      </c>
      <c r="D7967">
        <v>444315</v>
      </c>
    </row>
    <row r="7968" spans="1:4" x14ac:dyDescent="0.25">
      <c r="A7968" t="str">
        <f>T("   390290")</f>
        <v xml:space="preserve">   390290</v>
      </c>
      <c r="B7968" t="str">
        <f>T("   Polymères de propylène ou d'autres oléfines, sous formes primaires (à l'excl. du polypropylène, du polyisobutylène et des copolymères de propylène)")</f>
        <v xml:space="preserve">   Polymères de propylène ou d'autres oléfines, sous formes primaires (à l'excl. du polypropylène, du polyisobutylène et des copolymères de propylène)</v>
      </c>
      <c r="C7968">
        <v>576000</v>
      </c>
      <c r="D7968">
        <v>1000</v>
      </c>
    </row>
    <row r="7969" spans="1:4" x14ac:dyDescent="0.25">
      <c r="A7969" t="str">
        <f>T("   390760")</f>
        <v xml:space="preserve">   390760</v>
      </c>
      <c r="B7969" t="str">
        <f>T("   Poly[éthylène téréphtalate], sous formes primaires")</f>
        <v xml:space="preserve">   Poly[éthylène téréphtalate], sous formes primaires</v>
      </c>
      <c r="C7969">
        <v>292400</v>
      </c>
      <c r="D7969">
        <v>3655</v>
      </c>
    </row>
    <row r="7970" spans="1:4" x14ac:dyDescent="0.25">
      <c r="A7970" t="str">
        <f>T("   391723")</f>
        <v xml:space="preserve">   391723</v>
      </c>
      <c r="B7970" t="str">
        <f>T("   TUBES ET TUYAUX RIGIDES, EN POLYMÈRES DU CHLORURE DE VINYLE")</f>
        <v xml:space="preserve">   TUBES ET TUYAUX RIGIDES, EN POLYMÈRES DU CHLORURE DE VINYLE</v>
      </c>
      <c r="C7970">
        <v>3294000</v>
      </c>
      <c r="D7970">
        <v>12790</v>
      </c>
    </row>
    <row r="7971" spans="1:4" x14ac:dyDescent="0.25">
      <c r="A7971" t="str">
        <f>T("   391739")</f>
        <v xml:space="preserve">   391739</v>
      </c>
      <c r="B7971" t="str">
        <f>T("   TUBES ET TUYAUX SOUPLES, EN MATIÈRES PLASTIQUES, RENFORCÉS D'AUTRES MATIÈRES OU ASSOCIÉS À D'AUTRES MATIÈRES (À L'EXCL. DES PRODUITS POUVANT SUPPORTER UNE PRESSION &gt;= 27,6 MPA)")</f>
        <v xml:space="preserve">   TUBES ET TUYAUX SOUPLES, EN MATIÈRES PLASTIQUES, RENFORCÉS D'AUTRES MATIÈRES OU ASSOCIÉS À D'AUTRES MATIÈRES (À L'EXCL. DES PRODUITS POUVANT SUPPORTER UNE PRESSION &gt;= 27,6 MPA)</v>
      </c>
      <c r="C7971">
        <v>621300</v>
      </c>
      <c r="D7971">
        <v>1308</v>
      </c>
    </row>
    <row r="7972" spans="1:4" x14ac:dyDescent="0.25">
      <c r="A7972" t="str">
        <f>T("   392010")</f>
        <v xml:space="preserve">   392010</v>
      </c>
      <c r="B7972" t="s">
        <v>131</v>
      </c>
      <c r="C7972">
        <v>2400</v>
      </c>
      <c r="D7972">
        <v>100</v>
      </c>
    </row>
    <row r="7973" spans="1:4" x14ac:dyDescent="0.25">
      <c r="A7973" t="str">
        <f>T("   392190")</f>
        <v xml:space="preserve">   392190</v>
      </c>
      <c r="B7973" t="s">
        <v>143</v>
      </c>
      <c r="C7973">
        <v>22762495</v>
      </c>
      <c r="D7973">
        <v>38198</v>
      </c>
    </row>
    <row r="7974" spans="1:4" x14ac:dyDescent="0.25">
      <c r="A7974" t="str">
        <f>T("   392210")</f>
        <v xml:space="preserve">   392210</v>
      </c>
      <c r="B7974" t="str">
        <f>T("   Baignoires, douches, éviers et lavabos, en matières plastiques")</f>
        <v xml:space="preserve">   Baignoires, douches, éviers et lavabos, en matières plastiques</v>
      </c>
      <c r="C7974">
        <v>70000</v>
      </c>
      <c r="D7974">
        <v>100</v>
      </c>
    </row>
    <row r="7975" spans="1:4" x14ac:dyDescent="0.25">
      <c r="A7975" t="str">
        <f>T("   392310")</f>
        <v xml:space="preserve">   392310</v>
      </c>
      <c r="B7975" t="str">
        <f>T("   Boîtes, caisses, casiers et articles simil. pour le transport ou l'emballage, en matières plastiques")</f>
        <v xml:space="preserve">   Boîtes, caisses, casiers et articles simil. pour le transport ou l'emballage, en matières plastiques</v>
      </c>
      <c r="C7975">
        <v>4000</v>
      </c>
      <c r="D7975">
        <v>20</v>
      </c>
    </row>
    <row r="7976" spans="1:4" x14ac:dyDescent="0.25">
      <c r="A7976" t="str">
        <f>T("   392329")</f>
        <v xml:space="preserve">   392329</v>
      </c>
      <c r="B7976" t="str">
        <f>T("   Sacs, sachets, pochettes et cornets, en matières plastiques (autres que les polymères de l'éthylène)")</f>
        <v xml:space="preserve">   Sacs, sachets, pochettes et cornets, en matières plastiques (autres que les polymères de l'éthylène)</v>
      </c>
      <c r="C7976">
        <v>15332800</v>
      </c>
      <c r="D7976">
        <v>76667</v>
      </c>
    </row>
    <row r="7977" spans="1:4" x14ac:dyDescent="0.25">
      <c r="A7977" t="str">
        <f>T("   392330")</f>
        <v xml:space="preserve">   392330</v>
      </c>
      <c r="B7977" t="str">
        <f>T("   Bonbonnes, bouteilles, flacons et articles simil. pour le transport ou l'emballage, en matières plastiques")</f>
        <v xml:space="preserve">   Bonbonnes, bouteilles, flacons et articles simil. pour le transport ou l'emballage, en matières plastiques</v>
      </c>
      <c r="C7977">
        <v>3716310</v>
      </c>
      <c r="D7977">
        <v>6555</v>
      </c>
    </row>
    <row r="7978" spans="1:4" x14ac:dyDescent="0.25">
      <c r="A7978" t="str">
        <f>T("   392490")</f>
        <v xml:space="preserve">   392490</v>
      </c>
      <c r="B7978" t="s">
        <v>145</v>
      </c>
      <c r="C7978">
        <v>752985</v>
      </c>
      <c r="D7978">
        <v>2195</v>
      </c>
    </row>
    <row r="7979" spans="1:4" x14ac:dyDescent="0.25">
      <c r="A7979" t="str">
        <f>T("   392510")</f>
        <v xml:space="preserve">   392510</v>
      </c>
      <c r="B7979" t="str">
        <f>T("   Réservoirs, foudres, cuves et récipients analogues, en matières plastiques, d'une contenance &gt; 300 l")</f>
        <v xml:space="preserve">   Réservoirs, foudres, cuves et récipients analogues, en matières plastiques, d'une contenance &gt; 300 l</v>
      </c>
      <c r="C7979">
        <v>15950000</v>
      </c>
      <c r="D7979">
        <v>84370</v>
      </c>
    </row>
    <row r="7980" spans="1:4" x14ac:dyDescent="0.25">
      <c r="A7980" t="str">
        <f>T("   392590")</f>
        <v xml:space="preserve">   392590</v>
      </c>
      <c r="B7980" t="s">
        <v>146</v>
      </c>
      <c r="C7980">
        <v>236000</v>
      </c>
      <c r="D7980">
        <v>220</v>
      </c>
    </row>
    <row r="7981" spans="1:4" x14ac:dyDescent="0.25">
      <c r="A7981" t="str">
        <f>T("   392640")</f>
        <v xml:space="preserve">   392640</v>
      </c>
      <c r="B7981" t="str">
        <f>T("   Statuettes et autres objets d'ornementation, en matières plastiques")</f>
        <v xml:space="preserve">   Statuettes et autres objets d'ornementation, en matières plastiques</v>
      </c>
      <c r="C7981">
        <v>368100</v>
      </c>
      <c r="D7981">
        <v>1047</v>
      </c>
    </row>
    <row r="7982" spans="1:4" x14ac:dyDescent="0.25">
      <c r="A7982" t="str">
        <f>T("   392690")</f>
        <v xml:space="preserve">   392690</v>
      </c>
      <c r="B7982" t="str">
        <f>T("   Ouvrages en matières plastiques et ouvrages en autres matières du n° 3901 à 3914, n.d.a.")</f>
        <v xml:space="preserve">   Ouvrages en matières plastiques et ouvrages en autres matières du n° 3901 à 3914, n.d.a.</v>
      </c>
      <c r="C7982">
        <v>55145200</v>
      </c>
      <c r="D7982">
        <v>183366</v>
      </c>
    </row>
    <row r="7983" spans="1:4" x14ac:dyDescent="0.25">
      <c r="A7983" t="str">
        <f>T("   400821")</f>
        <v xml:space="preserve">   400821</v>
      </c>
      <c r="B7983" t="str">
        <f>T("   PLAQUES, FEUILLES ET BANDES, EN CAOUTCHOUC NON-ALVÉOLAIRE NON-DURCI")</f>
        <v xml:space="preserve">   PLAQUES, FEUILLES ET BANDES, EN CAOUTCHOUC NON-ALVÉOLAIRE NON-DURCI</v>
      </c>
      <c r="C7983">
        <v>272000</v>
      </c>
      <c r="D7983">
        <v>272</v>
      </c>
    </row>
    <row r="7984" spans="1:4" x14ac:dyDescent="0.25">
      <c r="A7984" t="str">
        <f>T("   400829")</f>
        <v xml:space="preserve">   400829</v>
      </c>
      <c r="B7984" t="str">
        <f>T("   Baguettes et profilés, en caoutchouc non alvéolaire non durci")</f>
        <v xml:space="preserve">   Baguettes et profilés, en caoutchouc non alvéolaire non durci</v>
      </c>
      <c r="C7984">
        <v>225000</v>
      </c>
      <c r="D7984">
        <v>225</v>
      </c>
    </row>
    <row r="7985" spans="1:4" x14ac:dyDescent="0.25">
      <c r="A7985" t="str">
        <f>T("   400942")</f>
        <v xml:space="preserve">   400942</v>
      </c>
      <c r="B7985" t="s">
        <v>153</v>
      </c>
      <c r="C7985">
        <v>206121</v>
      </c>
      <c r="D7985">
        <v>1100</v>
      </c>
    </row>
    <row r="7986" spans="1:4" x14ac:dyDescent="0.25">
      <c r="A7986" t="str">
        <f>T("   401110")</f>
        <v xml:space="preserve">   401110</v>
      </c>
      <c r="B7986" t="str">
        <f>T("   Pneumatiques neufs, en caoutchouc, des types utilisés pour les voitures de tourisme, y.c. les voitures du type 'break' et les voitures de course")</f>
        <v xml:space="preserve">   Pneumatiques neufs, en caoutchouc, des types utilisés pour les voitures de tourisme, y.c. les voitures du type 'break' et les voitures de course</v>
      </c>
      <c r="C7986">
        <v>9980000</v>
      </c>
      <c r="D7986">
        <v>13880</v>
      </c>
    </row>
    <row r="7987" spans="1:4" x14ac:dyDescent="0.25">
      <c r="A7987" t="str">
        <f>T("   401120")</f>
        <v xml:space="preserve">   401120</v>
      </c>
      <c r="B7987" t="str">
        <f>T("   Pneumatiques neufs, en caoutchouc, des types utilisés pour les autobus ou les camions (à l'excl. des pneumatiques à crampons, à chevrons ou simil.)")</f>
        <v xml:space="preserve">   Pneumatiques neufs, en caoutchouc, des types utilisés pour les autobus ou les camions (à l'excl. des pneumatiques à crampons, à chevrons ou simil.)</v>
      </c>
      <c r="C7987">
        <v>7469875</v>
      </c>
      <c r="D7987">
        <v>11100</v>
      </c>
    </row>
    <row r="7988" spans="1:4" x14ac:dyDescent="0.25">
      <c r="A7988" t="str">
        <f>T("   401140")</f>
        <v xml:space="preserve">   401140</v>
      </c>
      <c r="B7988" t="str">
        <f>T("   Pneumatiques neufs, en caoutchouc, des types utilisés pour les motocycles")</f>
        <v xml:space="preserve">   Pneumatiques neufs, en caoutchouc, des types utilisés pour les motocycles</v>
      </c>
      <c r="C7988">
        <v>21774000</v>
      </c>
      <c r="D7988">
        <v>26794</v>
      </c>
    </row>
    <row r="7989" spans="1:4" x14ac:dyDescent="0.25">
      <c r="A7989" t="str">
        <f>T("   401150")</f>
        <v xml:space="preserve">   401150</v>
      </c>
      <c r="B7989" t="str">
        <f>T("   Pneumatiques neufs, en caoutchouc, des types utilisés pour les bicyclettes")</f>
        <v xml:space="preserve">   Pneumatiques neufs, en caoutchouc, des types utilisés pour les bicyclettes</v>
      </c>
      <c r="C7989">
        <v>120000</v>
      </c>
      <c r="D7989">
        <v>200</v>
      </c>
    </row>
    <row r="7990" spans="1:4" x14ac:dyDescent="0.25">
      <c r="A7990" t="str">
        <f>T("   420299")</f>
        <v xml:space="preserve">   420299</v>
      </c>
      <c r="B7990" t="s">
        <v>164</v>
      </c>
      <c r="C7990">
        <v>86400</v>
      </c>
      <c r="D7990">
        <v>32</v>
      </c>
    </row>
    <row r="7991" spans="1:4" x14ac:dyDescent="0.25">
      <c r="A7991" t="str">
        <f>T("   420330")</f>
        <v xml:space="preserve">   420330</v>
      </c>
      <c r="B7991" t="str">
        <f>T("   Ceintures, ceinturons et baudriers, en cuir naturel ou reconstitué")</f>
        <v xml:space="preserve">   Ceintures, ceinturons et baudriers, en cuir naturel ou reconstitué</v>
      </c>
      <c r="C7991">
        <v>120000</v>
      </c>
      <c r="D7991">
        <v>50</v>
      </c>
    </row>
    <row r="7992" spans="1:4" x14ac:dyDescent="0.25">
      <c r="A7992" t="str">
        <f>T("   440729")</f>
        <v xml:space="preserve">   440729</v>
      </c>
      <c r="B7992" t="s">
        <v>168</v>
      </c>
      <c r="C7992">
        <v>22784442</v>
      </c>
      <c r="D7992">
        <v>789430</v>
      </c>
    </row>
    <row r="7993" spans="1:4" x14ac:dyDescent="0.25">
      <c r="A7993" t="str">
        <f>T("   441229")</f>
        <v xml:space="preserve">   441229</v>
      </c>
      <c r="B7993" t="s">
        <v>179</v>
      </c>
      <c r="C7993">
        <v>5077804</v>
      </c>
      <c r="D7993">
        <v>5320</v>
      </c>
    </row>
    <row r="7994" spans="1:4" x14ac:dyDescent="0.25">
      <c r="A7994" t="str">
        <f>T("   441830")</f>
        <v xml:space="preserve">   441830</v>
      </c>
      <c r="B7994" t="str">
        <f>T("   PANNEAUX POUR PARQUETS, EN BOIS (À L'EXCL. DES LAMES ET FRISES POUR PARQUETS, NON-ASSEMBLÉES)")</f>
        <v xml:space="preserve">   PANNEAUX POUR PARQUETS, EN BOIS (À L'EXCL. DES LAMES ET FRISES POUR PARQUETS, NON-ASSEMBLÉES)</v>
      </c>
      <c r="C7994">
        <v>50812</v>
      </c>
      <c r="D7994">
        <v>950</v>
      </c>
    </row>
    <row r="7995" spans="1:4" x14ac:dyDescent="0.25">
      <c r="A7995" t="str">
        <f>T("   441890")</f>
        <v xml:space="preserve">   441890</v>
      </c>
      <c r="B7995" t="s">
        <v>182</v>
      </c>
      <c r="C7995">
        <v>472544</v>
      </c>
      <c r="D7995">
        <v>2100</v>
      </c>
    </row>
    <row r="7996" spans="1:4" x14ac:dyDescent="0.25">
      <c r="A7996" t="str">
        <f>T("   441900")</f>
        <v xml:space="preserve">   441900</v>
      </c>
      <c r="B7996" t="s">
        <v>183</v>
      </c>
      <c r="C7996">
        <v>130000</v>
      </c>
      <c r="D7996">
        <v>115</v>
      </c>
    </row>
    <row r="7997" spans="1:4" x14ac:dyDescent="0.25">
      <c r="A7997" t="str">
        <f>T("   460210")</f>
        <v xml:space="preserve">   460210</v>
      </c>
      <c r="B7997" t="s">
        <v>185</v>
      </c>
      <c r="C7997">
        <v>125000</v>
      </c>
      <c r="D7997">
        <v>100</v>
      </c>
    </row>
    <row r="7998" spans="1:4" x14ac:dyDescent="0.25">
      <c r="A7998" t="str">
        <f>T("   470790")</f>
        <v xml:space="preserve">   470790</v>
      </c>
      <c r="B7998" t="s">
        <v>187</v>
      </c>
      <c r="C7998">
        <v>2584025</v>
      </c>
      <c r="D7998">
        <v>25000</v>
      </c>
    </row>
    <row r="7999" spans="1:4" x14ac:dyDescent="0.25">
      <c r="A7999" t="str">
        <f>T("   480100")</f>
        <v xml:space="preserve">   480100</v>
      </c>
      <c r="B7999" t="str">
        <f>T("   Papier journal, en rouleaux d'une largeur &gt; 36 cm ou en feuilles de forme carrée ou rectangulaire dont au moins un coté &gt; 36 cm et l'autre &gt; 15 cm à l'état non plié")</f>
        <v xml:space="preserve">   Papier journal, en rouleaux d'une largeur &gt; 36 cm ou en feuilles de forme carrée ou rectangulaire dont au moins un coté &gt; 36 cm et l'autre &gt; 15 cm à l'état non plié</v>
      </c>
      <c r="C7999">
        <v>7894880</v>
      </c>
      <c r="D7999">
        <v>5936</v>
      </c>
    </row>
    <row r="8000" spans="1:4" x14ac:dyDescent="0.25">
      <c r="A8000" t="str">
        <f>T("   480210")</f>
        <v xml:space="preserve">   480210</v>
      </c>
      <c r="B8000" t="str">
        <f>T("   Papiers et cartons formés feuille à feuille [papiers à la main], de tout format et de toute forme")</f>
        <v xml:space="preserve">   Papiers et cartons formés feuille à feuille [papiers à la main], de tout format et de toute forme</v>
      </c>
      <c r="C8000">
        <v>6240075</v>
      </c>
      <c r="D8000">
        <v>10514</v>
      </c>
    </row>
    <row r="8001" spans="1:4" x14ac:dyDescent="0.25">
      <c r="A8001" t="str">
        <f>T("   480419")</f>
        <v xml:space="preserve">   480419</v>
      </c>
      <c r="B8001" t="str">
        <f>T("   PAPIERS ET CARTONS POUR COUVERTURE, DITS 'KRAFTLINER', NON-COUCHÉS NI ENDUITS, EN ROULEAUX D'UNE LARGEUR &gt; 36 CM (À L'EXCL. DES PAPIERS ET CARTONS ÉCRUS AINSI QUE DES ARTICLES DU N° 4802 OU 4803)")</f>
        <v xml:space="preserve">   PAPIERS ET CARTONS POUR COUVERTURE, DITS 'KRAFTLINER', NON-COUCHÉS NI ENDUITS, EN ROULEAUX D'UNE LARGEUR &gt; 36 CM (À L'EXCL. DES PAPIERS ET CARTONS ÉCRUS AINSI QUE DES ARTICLES DU N° 4802 OU 4803)</v>
      </c>
      <c r="C8001">
        <v>12000</v>
      </c>
      <c r="D8001">
        <v>20</v>
      </c>
    </row>
    <row r="8002" spans="1:4" x14ac:dyDescent="0.25">
      <c r="A8002" t="str">
        <f>T("   480459")</f>
        <v xml:space="preserve">   480459</v>
      </c>
      <c r="B8002" t="s">
        <v>197</v>
      </c>
      <c r="C8002">
        <v>1226050</v>
      </c>
      <c r="D8002">
        <v>4342.5</v>
      </c>
    </row>
    <row r="8003" spans="1:4" x14ac:dyDescent="0.25">
      <c r="A8003" t="str">
        <f>T("   480700")</f>
        <v xml:space="preserve">   480700</v>
      </c>
      <c r="B8003" t="s">
        <v>200</v>
      </c>
      <c r="C8003">
        <v>31939500</v>
      </c>
      <c r="D8003">
        <v>63869</v>
      </c>
    </row>
    <row r="8004" spans="1:4" x14ac:dyDescent="0.25">
      <c r="A8004" t="str">
        <f>T("   481110")</f>
        <v xml:space="preserve">   481110</v>
      </c>
      <c r="B8004" t="str">
        <f>T("   Papiers et cartons goudronnés, bitumés ou asphaltés, en rouleaux ou en feuilles de forme carrée ou rectangulaire, de tout format")</f>
        <v xml:space="preserve">   Papiers et cartons goudronnés, bitumés ou asphaltés, en rouleaux ou en feuilles de forme carrée ou rectangulaire, de tout format</v>
      </c>
      <c r="C8004">
        <v>82500</v>
      </c>
      <c r="D8004">
        <v>500</v>
      </c>
    </row>
    <row r="8005" spans="1:4" x14ac:dyDescent="0.25">
      <c r="A8005" t="str">
        <f>T("   481129")</f>
        <v xml:space="preserve">   481129</v>
      </c>
      <c r="B8005" t="str">
        <f>T("   PAPIERS ET CARTONS GOMMES OU ADHÉSIFS, EN ROULEAUX OU EN FEUILLES DES TYPES DEFINIS DANS LES NOTES 7A) OU 7B) DU PRESENT CHAPITRE (À L'EXCL. DES PAPIERS ET CARTONS AUTO-ADHÉSIFS AINSI QUE DES PRODUITS DU N° 4810)")</f>
        <v xml:space="preserve">   PAPIERS ET CARTONS GOMMES OU ADHÉSIFS, EN ROULEAUX OU EN FEUILLES DES TYPES DEFINIS DANS LES NOTES 7A) OU 7B) DU PRESENT CHAPITRE (À L'EXCL. DES PAPIERS ET CARTONS AUTO-ADHÉSIFS AINSI QUE DES PRODUITS DU N° 4810)</v>
      </c>
      <c r="C8005">
        <v>591000</v>
      </c>
      <c r="D8005">
        <v>985</v>
      </c>
    </row>
    <row r="8006" spans="1:4" x14ac:dyDescent="0.25">
      <c r="A8006" t="str">
        <f>T("   481141")</f>
        <v xml:space="preserve">   481141</v>
      </c>
      <c r="B8006" t="str">
        <f>T("   Papiers et cartons, auto-adhésifs, coloriés en surface, décorés en surface ou imprimés, en rouleaux ou en feuilles de forme carrée ou rectangulaire, de tout format (à l'excl. des produits du n° 4810)")</f>
        <v xml:space="preserve">   Papiers et cartons, auto-adhésifs, coloriés en surface, décorés en surface ou imprimés, en rouleaux ou en feuilles de forme carrée ou rectangulaire, de tout format (à l'excl. des produits du n° 4810)</v>
      </c>
      <c r="C8006">
        <v>70200</v>
      </c>
      <c r="D8006">
        <v>120</v>
      </c>
    </row>
    <row r="8007" spans="1:4" x14ac:dyDescent="0.25">
      <c r="A8007" t="str">
        <f>T("   481820")</f>
        <v xml:space="preserve">   481820</v>
      </c>
      <c r="B8007" t="str">
        <f>T("   Mouchoirs, serviettes à démaquiller et essuie-mains, en pâte à papier, papier, ouate de cellulose ou nappes de fibres de cellulose")</f>
        <v xml:space="preserve">   Mouchoirs, serviettes à démaquiller et essuie-mains, en pâte à papier, papier, ouate de cellulose ou nappes de fibres de cellulose</v>
      </c>
      <c r="C8007">
        <v>2713500</v>
      </c>
      <c r="D8007">
        <v>9058</v>
      </c>
    </row>
    <row r="8008" spans="1:4" x14ac:dyDescent="0.25">
      <c r="A8008" t="str">
        <f>T("   481840")</f>
        <v xml:space="preserve">   481840</v>
      </c>
      <c r="B8008" t="str">
        <f>T("   Serviettes et tampons hygiéniques, couches pour bébés et articles hygiéniques simil., en pâte à papier, papier, ouate de cellulose ou nappes de fibres de cellulose")</f>
        <v xml:space="preserve">   Serviettes et tampons hygiéniques, couches pour bébés et articles hygiéniques simil., en pâte à papier, papier, ouate de cellulose ou nappes de fibres de cellulose</v>
      </c>
      <c r="C8008">
        <v>135435</v>
      </c>
      <c r="D8008">
        <v>270</v>
      </c>
    </row>
    <row r="8009" spans="1:4" x14ac:dyDescent="0.25">
      <c r="A8009" t="str">
        <f>T("   481910")</f>
        <v xml:space="preserve">   481910</v>
      </c>
      <c r="B8009" t="str">
        <f>T("   Boîtes et caisses en papier ou en carton ondulé")</f>
        <v xml:space="preserve">   Boîtes et caisses en papier ou en carton ondulé</v>
      </c>
      <c r="C8009">
        <v>16623800</v>
      </c>
      <c r="D8009">
        <v>41317</v>
      </c>
    </row>
    <row r="8010" spans="1:4" x14ac:dyDescent="0.25">
      <c r="A8010" t="str">
        <f>T("   481920")</f>
        <v xml:space="preserve">   481920</v>
      </c>
      <c r="B8010" t="str">
        <f>T("   Boîtes et cartonnages, pliants, en papier ou en carton non ondulé")</f>
        <v xml:space="preserve">   Boîtes et cartonnages, pliants, en papier ou en carton non ondulé</v>
      </c>
      <c r="C8010">
        <v>96000</v>
      </c>
      <c r="D8010">
        <v>60</v>
      </c>
    </row>
    <row r="8011" spans="1:4" x14ac:dyDescent="0.25">
      <c r="A8011" t="str">
        <f>T("   482050")</f>
        <v xml:space="preserve">   482050</v>
      </c>
      <c r="B8011" t="str">
        <f>T("   Albums pour échantillonnages ou pour collections, en papier ou en carton")</f>
        <v xml:space="preserve">   Albums pour échantillonnages ou pour collections, en papier ou en carton</v>
      </c>
      <c r="C8011">
        <v>590000</v>
      </c>
      <c r="D8011">
        <v>630</v>
      </c>
    </row>
    <row r="8012" spans="1:4" x14ac:dyDescent="0.25">
      <c r="A8012" t="str">
        <f>T("   482190")</f>
        <v xml:space="preserve">   482190</v>
      </c>
      <c r="B8012" t="str">
        <f>T("   ÉTIQUETTES DE TOUS GENRES, EN PAPIER OU EN CARTON, NON-IMPRIMÉES")</f>
        <v xml:space="preserve">   ÉTIQUETTES DE TOUS GENRES, EN PAPIER OU EN CARTON, NON-IMPRIMÉES</v>
      </c>
      <c r="C8012">
        <v>3600</v>
      </c>
      <c r="D8012">
        <v>60</v>
      </c>
    </row>
    <row r="8013" spans="1:4" x14ac:dyDescent="0.25">
      <c r="A8013" t="str">
        <f>T("   482311")</f>
        <v xml:space="preserve">   482311</v>
      </c>
      <c r="B8013" t="str">
        <f>T("   PAPIER GOMME OU ADHESIF, EN BANDES OU EN ROULEAUX AUTO-ADHÉSIFS D'UNE LARGEUR =&lt; 15 CM")</f>
        <v xml:space="preserve">   PAPIER GOMME OU ADHESIF, EN BANDES OU EN ROULEAUX AUTO-ADHÉSIFS D'UNE LARGEUR =&lt; 15 CM</v>
      </c>
      <c r="C8013">
        <v>7266925</v>
      </c>
      <c r="D8013">
        <v>12425</v>
      </c>
    </row>
    <row r="8014" spans="1:4" x14ac:dyDescent="0.25">
      <c r="A8014" t="str">
        <f>T("   490110")</f>
        <v xml:space="preserve">   490110</v>
      </c>
      <c r="B8014" t="str">
        <f>T("   Livres, brochures et imprimés simil., en feuillets isolés, même pliés (à l'excl. des publications périodiques et des publications à usages principalement publicitaires)")</f>
        <v xml:space="preserve">   Livres, brochures et imprimés simil., en feuillets isolés, même pliés (à l'excl. des publications périodiques et des publications à usages principalement publicitaires)</v>
      </c>
      <c r="C8014">
        <v>50000</v>
      </c>
      <c r="D8014">
        <v>1176</v>
      </c>
    </row>
    <row r="8015" spans="1:4" x14ac:dyDescent="0.25">
      <c r="A8015" t="str">
        <f>T("   490199")</f>
        <v xml:space="preserve">   490199</v>
      </c>
      <c r="B8015"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8015">
        <v>16742000</v>
      </c>
      <c r="D8015">
        <v>15310</v>
      </c>
    </row>
    <row r="8016" spans="1:4" x14ac:dyDescent="0.25">
      <c r="A8016" t="str">
        <f>T("   491110")</f>
        <v xml:space="preserve">   491110</v>
      </c>
      <c r="B8016" t="str">
        <f>T("   Imprimés publicitaires, catalogues commerciaux et simil.")</f>
        <v xml:space="preserve">   Imprimés publicitaires, catalogues commerciaux et simil.</v>
      </c>
      <c r="C8016">
        <v>1376494</v>
      </c>
      <c r="D8016">
        <v>6270</v>
      </c>
    </row>
    <row r="8017" spans="1:4" x14ac:dyDescent="0.25">
      <c r="A8017" t="str">
        <f>T("   491199")</f>
        <v xml:space="preserve">   491199</v>
      </c>
      <c r="B8017" t="str">
        <f>T("   Imprimés, n.d.a.")</f>
        <v xml:space="preserve">   Imprimés, n.d.a.</v>
      </c>
      <c r="C8017">
        <v>38557200</v>
      </c>
      <c r="D8017">
        <v>5700</v>
      </c>
    </row>
    <row r="8018" spans="1:4" x14ac:dyDescent="0.25">
      <c r="A8018" t="str">
        <f>T("   510910")</f>
        <v xml:space="preserve">   510910</v>
      </c>
      <c r="B8018" t="str">
        <f>T("   Fils de laine ou de poils fins, contenant &gt;= 85% en poids de laine ou de poils fins, conditionnés pour la vente au détail")</f>
        <v xml:space="preserve">   Fils de laine ou de poils fins, contenant &gt;= 85% en poids de laine ou de poils fins, conditionnés pour la vente au détail</v>
      </c>
      <c r="C8018">
        <v>18000</v>
      </c>
      <c r="D8018">
        <v>10</v>
      </c>
    </row>
    <row r="8019" spans="1:4" x14ac:dyDescent="0.25">
      <c r="A8019" t="str">
        <f>T("   520300")</f>
        <v xml:space="preserve">   520300</v>
      </c>
      <c r="B8019" t="str">
        <f>T("   Coton, cardé ou peigné")</f>
        <v xml:space="preserve">   Coton, cardé ou peigné</v>
      </c>
      <c r="C8019">
        <v>657000</v>
      </c>
      <c r="D8019">
        <v>1095</v>
      </c>
    </row>
    <row r="8020" spans="1:4" x14ac:dyDescent="0.25">
      <c r="A8020" t="str">
        <f>T("   520420")</f>
        <v xml:space="preserve">   520420</v>
      </c>
      <c r="B8020" t="str">
        <f>T("   Fils à coudre de coton, conditionnés pour la vente au détail")</f>
        <v xml:space="preserve">   Fils à coudre de coton, conditionnés pour la vente au détail</v>
      </c>
      <c r="C8020">
        <v>28000</v>
      </c>
      <c r="D8020">
        <v>20</v>
      </c>
    </row>
    <row r="8021" spans="1:4" x14ac:dyDescent="0.25">
      <c r="A8021" t="str">
        <f>T("   520790")</f>
        <v xml:space="preserve">   520790</v>
      </c>
      <c r="B8021" t="str">
        <f>T("   Fils de coton, contenant en prédominance, mais &lt; 85% en poids de coton, conditionnés pour la vente au détail (sauf les fils à coudre)")</f>
        <v xml:space="preserve">   Fils de coton, contenant en prédominance, mais &lt; 85% en poids de coton, conditionnés pour la vente au détail (sauf les fils à coudre)</v>
      </c>
      <c r="C8021">
        <v>3400000</v>
      </c>
      <c r="D8021">
        <v>12450</v>
      </c>
    </row>
    <row r="8022" spans="1:4" x14ac:dyDescent="0.25">
      <c r="A8022" t="str">
        <f>T("   520852")</f>
        <v xml:space="preserve">   520852</v>
      </c>
      <c r="B8022" t="str">
        <f>T("   Tissus de coton, imprimés, à armure toile, contenant &gt;= 85% en poids de coton, d'un poids &gt; 100 g/m² mais &lt;= 200 g/m²")</f>
        <v xml:space="preserve">   Tissus de coton, imprimés, à armure toile, contenant &gt;= 85% en poids de coton, d'un poids &gt; 100 g/m² mais &lt;= 200 g/m²</v>
      </c>
      <c r="C8022">
        <v>1019730</v>
      </c>
      <c r="D8022">
        <v>1030</v>
      </c>
    </row>
    <row r="8023" spans="1:4" x14ac:dyDescent="0.25">
      <c r="A8023" t="str">
        <f>T("   520929")</f>
        <v xml:space="preserve">   520929</v>
      </c>
      <c r="B8023" t="str">
        <f>T("   Tissus de coton, blanchis, contenant &gt;= 85% en poids de coton, d'un poids &gt; 200 g/m² (à l'excl. des tissus à armure toile ou à armure sergé [y.c. le croisé] d'un rapport d'armure &lt;= 4)")</f>
        <v xml:space="preserve">   Tissus de coton, blanchis, contenant &gt;= 85% en poids de coton, d'un poids &gt; 200 g/m² (à l'excl. des tissus à armure toile ou à armure sergé [y.c. le croisé] d'un rapport d'armure &lt;= 4)</v>
      </c>
      <c r="C8023">
        <v>972000</v>
      </c>
      <c r="D8023">
        <v>1500</v>
      </c>
    </row>
    <row r="8024" spans="1:4" x14ac:dyDescent="0.25">
      <c r="A8024" t="str">
        <f>T("   520951")</f>
        <v xml:space="preserve">   520951</v>
      </c>
      <c r="B8024" t="str">
        <f>T("   Tissus de coton, imprimés, à armure toile, contenant &gt;= 85% en poids de coton, d'un poids &gt; 200 g/m²")</f>
        <v xml:space="preserve">   Tissus de coton, imprimés, à armure toile, contenant &gt;= 85% en poids de coton, d'un poids &gt; 200 g/m²</v>
      </c>
      <c r="C8024">
        <v>5052399</v>
      </c>
      <c r="D8024">
        <v>45200</v>
      </c>
    </row>
    <row r="8025" spans="1:4" x14ac:dyDescent="0.25">
      <c r="A8025" t="str">
        <f>T("   521141")</f>
        <v xml:space="preserve">   521141</v>
      </c>
      <c r="B8025" t="str">
        <f>T("   Tissus de coton, en fils de diverses couleurs, à armure toile, contenant en prédominance, mais &lt; 85% en poids de coton, mélangés principalement ou uniquement avec des fibres synthétiques ou artificielles, d'un poids &gt; 200 g/m²")</f>
        <v xml:space="preserve">   Tissus de coton, en fils de diverses couleurs, à armure toile, contenant en prédominance, mais &lt; 85% en poids de coton, mélangés principalement ou uniquement avec des fibres synthétiques ou artificielles, d'un poids &gt; 200 g/m²</v>
      </c>
      <c r="C8025">
        <v>489600</v>
      </c>
      <c r="D8025">
        <v>575</v>
      </c>
    </row>
    <row r="8026" spans="1:4" x14ac:dyDescent="0.25">
      <c r="A8026" t="str">
        <f>T("   521214")</f>
        <v xml:space="preserve">   521214</v>
      </c>
      <c r="B8026" t="str">
        <f>T("   Tissus de coton, en fils de diverses couleurs, contenant en prédominance, mais &lt; 85% en poids de coton, autres que mélangés principalement ou uniquement avec des fibres synthétiques ou artificielles, d'un poids &lt;= 200 g/m²")</f>
        <v xml:space="preserve">   Tissus de coton, en fils de diverses couleurs, contenant en prédominance, mais &lt; 85% en poids de coton, autres que mélangés principalement ou uniquement avec des fibres synthétiques ou artificielles, d'un poids &lt;= 200 g/m²</v>
      </c>
      <c r="C8026">
        <v>1116000</v>
      </c>
      <c r="D8026">
        <v>930</v>
      </c>
    </row>
    <row r="8027" spans="1:4" x14ac:dyDescent="0.25">
      <c r="A8027" t="str">
        <f>T("   521215")</f>
        <v xml:space="preserve">   521215</v>
      </c>
      <c r="B8027" t="str">
        <f>T("   Tissus de coton, imprimés, contenant en prédominance, mais &lt; 85% en poids de coton, autres que mélangés principalement ou uniquement avec des fibres synthétiques ou artificielles, d'un poids &lt;= 200 g/m²")</f>
        <v xml:space="preserve">   Tissus de coton, imprimés, contenant en prédominance, mais &lt; 85% en poids de coton, autres que mélangés principalement ou uniquement avec des fibres synthétiques ou artificielles, d'un poids &lt;= 200 g/m²</v>
      </c>
      <c r="C8027">
        <v>50000</v>
      </c>
      <c r="D8027">
        <v>50</v>
      </c>
    </row>
    <row r="8028" spans="1:4" x14ac:dyDescent="0.25">
      <c r="A8028" t="str">
        <f>T("   540620")</f>
        <v xml:space="preserve">   540620</v>
      </c>
      <c r="B8028" t="str">
        <f>T("   Fils de filaments artificiels, conditionnés pour la vente au détail (à l'excl. des fils à coudre)")</f>
        <v xml:space="preserve">   Fils de filaments artificiels, conditionnés pour la vente au détail (à l'excl. des fils à coudre)</v>
      </c>
      <c r="C8028">
        <v>139050</v>
      </c>
      <c r="D8028">
        <v>206</v>
      </c>
    </row>
    <row r="8029" spans="1:4" x14ac:dyDescent="0.25">
      <c r="A8029" t="str">
        <f>T("   551219")</f>
        <v xml:space="preserve">   551219</v>
      </c>
      <c r="B8029" t="str">
        <f>T("   Tissus, teints, imprimés ou en fils de diverses couleurs, de fibres discontinues de polyester, contenant &gt;= 85% en poids de ces fibres")</f>
        <v xml:space="preserve">   Tissus, teints, imprimés ou en fils de diverses couleurs, de fibres discontinues de polyester, contenant &gt;= 85% en poids de ces fibres</v>
      </c>
      <c r="C8029">
        <v>232000</v>
      </c>
      <c r="D8029">
        <v>230</v>
      </c>
    </row>
    <row r="8030" spans="1:4" x14ac:dyDescent="0.25">
      <c r="A8030" t="str">
        <f>T("   551443")</f>
        <v xml:space="preserve">   551443</v>
      </c>
      <c r="B8030" t="s">
        <v>235</v>
      </c>
      <c r="C8030">
        <v>14793500</v>
      </c>
      <c r="D8030">
        <v>29446</v>
      </c>
    </row>
    <row r="8031" spans="1:4" x14ac:dyDescent="0.25">
      <c r="A8031" t="str">
        <f>T("   560110")</f>
        <v xml:space="preserve">   560110</v>
      </c>
      <c r="B8031" t="str">
        <f>T("   Serviettes et tampons hygiéniques, couches pour bébés et articles hygiéniques simil., en ouates")</f>
        <v xml:space="preserve">   Serviettes et tampons hygiéniques, couches pour bébés et articles hygiéniques simil., en ouates</v>
      </c>
      <c r="C8031">
        <v>719025</v>
      </c>
      <c r="D8031">
        <v>953</v>
      </c>
    </row>
    <row r="8032" spans="1:4" x14ac:dyDescent="0.25">
      <c r="A8032" t="str">
        <f>T("   560490")</f>
        <v xml:space="preserve">   560490</v>
      </c>
      <c r="B8032" t="str">
        <f>T("   FILS TEXTILES, LAMES ET FORMES SIMIL. DU N° 5404 OU 5405, IMPRÉGNÉS, ENDUITS, RECOUVERTS OU GAINÉS DE CAOUTCHOUC OU DE MATIÈRE PLASTIQUE (À L'EXCL. DES IMITATIONS DE CATGUT MUNIES D'HAMEÇONS OU AUTREMENT MONTÉES EN LIGNES)")</f>
        <v xml:space="preserve">   FILS TEXTILES, LAMES ET FORMES SIMIL. DU N° 5404 OU 5405, IMPRÉGNÉS, ENDUITS, RECOUVERTS OU GAINÉS DE CAOUTCHOUC OU DE MATIÈRE PLASTIQUE (À L'EXCL. DES IMITATIONS DE CATGUT MUNIES D'HAMEÇONS OU AUTREMENT MONTÉES EN LIGNES)</v>
      </c>
      <c r="C8032">
        <v>2398550</v>
      </c>
      <c r="D8032">
        <v>6933</v>
      </c>
    </row>
    <row r="8033" spans="1:4" x14ac:dyDescent="0.25">
      <c r="A8033" t="str">
        <f>T("   560749")</f>
        <v xml:space="preserve">   560749</v>
      </c>
      <c r="B8033" t="str">
        <f>T("   Ficelles, cordes et cordages, de polyéthylène ou de polypropylène, tressés ou non, même imprégnés, enduits, recouverts ou gainés de caoutchouc ou de matière plastique (à l'excl. les ficelles lieuses ou botteleuses)")</f>
        <v xml:space="preserve">   Ficelles, cordes et cordages, de polyéthylène ou de polypropylène, tressés ou non, même imprégnés, enduits, recouverts ou gainés de caoutchouc ou de matière plastique (à l'excl. les ficelles lieuses ou botteleuses)</v>
      </c>
      <c r="C8033">
        <v>28000</v>
      </c>
      <c r="D8033">
        <v>80</v>
      </c>
    </row>
    <row r="8034" spans="1:4" x14ac:dyDescent="0.25">
      <c r="A8034" t="str">
        <f>T("   570390")</f>
        <v xml:space="preserve">   570390</v>
      </c>
      <c r="B8034" t="str">
        <f>T("   Tapis et autres revêtements de sol, de matières textiles végétales ou de poils grossiers, touffetés, même confectionnés")</f>
        <v xml:space="preserve">   Tapis et autres revêtements de sol, de matières textiles végétales ou de poils grossiers, touffetés, même confectionnés</v>
      </c>
      <c r="C8034">
        <v>26000</v>
      </c>
      <c r="D8034">
        <v>20</v>
      </c>
    </row>
    <row r="8035" spans="1:4" x14ac:dyDescent="0.25">
      <c r="A8035" t="str">
        <f>T("   590190")</f>
        <v xml:space="preserve">   590190</v>
      </c>
      <c r="B8035" t="str">
        <f>T("   Toiles à calquer ou transparentes pour le dessin; toiles préparées pour la peinture; bougran et tissus simil. raidis des types utilisés pour la chapellerie (à l'excl. des tissus enduits de matière plastique)")</f>
        <v xml:space="preserve">   Toiles à calquer ou transparentes pour le dessin; toiles préparées pour la peinture; bougran et tissus simil. raidis des types utilisés pour la chapellerie (à l'excl. des tissus enduits de matière plastique)</v>
      </c>
      <c r="C8035">
        <v>38926400</v>
      </c>
      <c r="D8035">
        <v>48761</v>
      </c>
    </row>
    <row r="8036" spans="1:4" x14ac:dyDescent="0.25">
      <c r="A8036" t="str">
        <f>T("   590490")</f>
        <v xml:space="preserve">   590490</v>
      </c>
      <c r="B8036" t="str">
        <f>T("   Revêtements de sol consistant en un enduit ou un recouvrement appliqué sur un support textile, même découpés (à l'excl. des linoléums)")</f>
        <v xml:space="preserve">   Revêtements de sol consistant en un enduit ou un recouvrement appliqué sur un support textile, même découpés (à l'excl. des linoléums)</v>
      </c>
      <c r="C8036">
        <v>40000</v>
      </c>
      <c r="D8036">
        <v>50</v>
      </c>
    </row>
    <row r="8037" spans="1:4" x14ac:dyDescent="0.25">
      <c r="A8037" t="str">
        <f>T("   590800")</f>
        <v xml:space="preserve">   590800</v>
      </c>
      <c r="B8037" t="s">
        <v>255</v>
      </c>
      <c r="C8037">
        <v>46875</v>
      </c>
      <c r="D8037">
        <v>75</v>
      </c>
    </row>
    <row r="8038" spans="1:4" x14ac:dyDescent="0.25">
      <c r="A8038" t="str">
        <f>T("   610910")</f>
        <v xml:space="preserve">   610910</v>
      </c>
      <c r="B8038" t="str">
        <f>T("   T-shirts et maillots de corps, en bonneterie, de coton,")</f>
        <v xml:space="preserve">   T-shirts et maillots de corps, en bonneterie, de coton,</v>
      </c>
      <c r="C8038">
        <v>3992000</v>
      </c>
      <c r="D8038">
        <v>6656</v>
      </c>
    </row>
    <row r="8039" spans="1:4" x14ac:dyDescent="0.25">
      <c r="A8039" t="str">
        <f>T("   621040")</f>
        <v xml:space="preserve">   621040</v>
      </c>
      <c r="B8039" t="s">
        <v>272</v>
      </c>
      <c r="C8039">
        <v>1019730</v>
      </c>
      <c r="D8039">
        <v>175</v>
      </c>
    </row>
    <row r="8040" spans="1:4" x14ac:dyDescent="0.25">
      <c r="A8040" t="str">
        <f>T("   621430")</f>
        <v xml:space="preserve">   621430</v>
      </c>
      <c r="B8040" t="str">
        <f>T("   Châles, écharpes, foulards, cache-nez, cache-col, mantilles, voiles et voilettes et articles simil., de fibres synthétiques (autres qu'en bonneterie)")</f>
        <v xml:space="preserve">   Châles, écharpes, foulards, cache-nez, cache-col, mantilles, voiles et voilettes et articles simil., de fibres synthétiques (autres qu'en bonneterie)</v>
      </c>
      <c r="C8040">
        <v>149000</v>
      </c>
      <c r="D8040">
        <v>14</v>
      </c>
    </row>
    <row r="8041" spans="1:4" x14ac:dyDescent="0.25">
      <c r="A8041" t="str">
        <f>T("   630260")</f>
        <v xml:space="preserve">   630260</v>
      </c>
      <c r="B8041" t="str">
        <f>T("   Linge de toilette ou de cuisine, bouclé du genre éponge, de coton (sauf serpillières, chiffons à parquet, lavettes et chamoisettes)")</f>
        <v xml:space="preserve">   Linge de toilette ou de cuisine, bouclé du genre éponge, de coton (sauf serpillières, chiffons à parquet, lavettes et chamoisettes)</v>
      </c>
      <c r="C8041">
        <v>364000</v>
      </c>
      <c r="D8041">
        <v>375</v>
      </c>
    </row>
    <row r="8042" spans="1:4" x14ac:dyDescent="0.25">
      <c r="A8042" t="str">
        <f>T("   630319")</f>
        <v xml:space="preserve">   630319</v>
      </c>
      <c r="B8042" t="str">
        <f>T("   Vitrages, rideaux et stores d'intérieur ainsi que cantonnières et tours de lit, en bonneterie (autres que de coton et fibres synthétiques et autres que stores d'extérieur)")</f>
        <v xml:space="preserve">   Vitrages, rideaux et stores d'intérieur ainsi que cantonnières et tours de lit, en bonneterie (autres que de coton et fibres synthétiques et autres que stores d'extérieur)</v>
      </c>
      <c r="C8042">
        <v>500000</v>
      </c>
      <c r="D8042">
        <v>500</v>
      </c>
    </row>
    <row r="8043" spans="1:4" x14ac:dyDescent="0.25">
      <c r="A8043" t="str">
        <f>T("   630491")</f>
        <v xml:space="preserve">   630491</v>
      </c>
      <c r="B8043" t="s">
        <v>276</v>
      </c>
      <c r="C8043">
        <v>389000</v>
      </c>
      <c r="D8043">
        <v>30</v>
      </c>
    </row>
    <row r="8044" spans="1:4" x14ac:dyDescent="0.25">
      <c r="A8044" t="str">
        <f>T("   630510")</f>
        <v xml:space="preserve">   630510</v>
      </c>
      <c r="B8044" t="str">
        <f>T("   Sacs et sachets d'emballage de jute ou d'autres fibres textiles libériennes du n° 5303")</f>
        <v xml:space="preserve">   Sacs et sachets d'emballage de jute ou d'autres fibres textiles libériennes du n° 5303</v>
      </c>
      <c r="C8044">
        <v>120000</v>
      </c>
      <c r="D8044">
        <v>200</v>
      </c>
    </row>
    <row r="8045" spans="1:4" x14ac:dyDescent="0.25">
      <c r="A8045" t="str">
        <f>T("   630533")</f>
        <v xml:space="preserve">   630533</v>
      </c>
      <c r="B8045" t="str">
        <f>T("   Sacs et sachets d'emballage obtenus à partir de lames ou formes simil., de polyéthylène ou polypropylène (à l'excl. des contenants souples pour matières en vrac)")</f>
        <v xml:space="preserve">   Sacs et sachets d'emballage obtenus à partir de lames ou formes simil., de polyéthylène ou polypropylène (à l'excl. des contenants souples pour matières en vrac)</v>
      </c>
      <c r="C8045">
        <v>5697650</v>
      </c>
      <c r="D8045">
        <v>38043</v>
      </c>
    </row>
    <row r="8046" spans="1:4" x14ac:dyDescent="0.25">
      <c r="A8046" t="str">
        <f>T("   630611")</f>
        <v xml:space="preserve">   630611</v>
      </c>
      <c r="B8046" t="str">
        <f>T("   Bâches et stores d'extérieur de coton (sauf auvents plats en tissus légers, confectionnés selon le type de bâche)")</f>
        <v xml:space="preserve">   Bâches et stores d'extérieur de coton (sauf auvents plats en tissus légers, confectionnés selon le type de bâche)</v>
      </c>
      <c r="C8046">
        <v>773000</v>
      </c>
      <c r="D8046">
        <v>526</v>
      </c>
    </row>
    <row r="8047" spans="1:4" x14ac:dyDescent="0.25">
      <c r="A8047" t="str">
        <f>T("   630612")</f>
        <v xml:space="preserve">   630612</v>
      </c>
      <c r="B8047" t="str">
        <f>T("   Bâches et stores d'extérieur de fibres synthétiques (sauf auvents plats en tissus légers, confectionnés selon le type de bâche)")</f>
        <v xml:space="preserve">   Bâches et stores d'extérieur de fibres synthétiques (sauf auvents plats en tissus légers, confectionnés selon le type de bâche)</v>
      </c>
      <c r="C8047">
        <v>570000</v>
      </c>
      <c r="D8047">
        <v>228</v>
      </c>
    </row>
    <row r="8048" spans="1:4" x14ac:dyDescent="0.25">
      <c r="A8048" t="str">
        <f>T("   630619")</f>
        <v xml:space="preserve">   630619</v>
      </c>
      <c r="B8048" t="str">
        <f>T("   Bâches et stores d'extérieur de matières textiles (autres que de coton ou fibres synthétiques et sauf auvents plats en tissus légers, confectionnés selon le type de bâche)")</f>
        <v xml:space="preserve">   Bâches et stores d'extérieur de matières textiles (autres que de coton ou fibres synthétiques et sauf auvents plats en tissus légers, confectionnés selon le type de bâche)</v>
      </c>
      <c r="C8048">
        <v>2537500</v>
      </c>
      <c r="D8048">
        <v>1155</v>
      </c>
    </row>
    <row r="8049" spans="1:4" x14ac:dyDescent="0.25">
      <c r="A8049" t="str">
        <f>T("   630710")</f>
        <v xml:space="preserve">   630710</v>
      </c>
      <c r="B8049" t="str">
        <f>T("   Serpillières ou wassingues, lavettes, chamoisettes et articles d'entretien simil. en tous types de matières textiles")</f>
        <v xml:space="preserve">   Serpillières ou wassingues, lavettes, chamoisettes et articles d'entretien simil. en tous types de matières textiles</v>
      </c>
      <c r="C8049">
        <v>600000</v>
      </c>
      <c r="D8049">
        <v>300</v>
      </c>
    </row>
    <row r="8050" spans="1:4" x14ac:dyDescent="0.25">
      <c r="A8050" t="str">
        <f>T("   630900")</f>
        <v xml:space="preserve">   630900</v>
      </c>
      <c r="B8050" t="s">
        <v>280</v>
      </c>
      <c r="C8050">
        <v>2220935</v>
      </c>
      <c r="D8050">
        <v>13390</v>
      </c>
    </row>
    <row r="8051" spans="1:4" x14ac:dyDescent="0.25">
      <c r="A8051" t="str">
        <f>T("   640212")</f>
        <v xml:space="preserve">   640212</v>
      </c>
      <c r="B8051" t="str">
        <f>T("   Chaussures de ski et chaussures pour le surf des neiges, à semelles extérieures et dessus en caoutchouc ou en matière plastique (sauf chaussures étanches du n° 6401)")</f>
        <v xml:space="preserve">   Chaussures de ski et chaussures pour le surf des neiges, à semelles extérieures et dessus en caoutchouc ou en matière plastique (sauf chaussures étanches du n° 6401)</v>
      </c>
      <c r="C8051">
        <v>36000</v>
      </c>
      <c r="D8051">
        <v>50</v>
      </c>
    </row>
    <row r="8052" spans="1:4" x14ac:dyDescent="0.25">
      <c r="A8052" t="str">
        <f>T("   640220")</f>
        <v xml:space="preserve">   640220</v>
      </c>
      <c r="B8052" t="str">
        <f>T("   Chaussures à semelles extérieures et dessus en caoutchouc ou en matière plastique, à dessus en lanières ou brides fixées à la semelle par des tétons (sauf chaussures ayant le caractère de jouets)")</f>
        <v xml:space="preserve">   Chaussures à semelles extérieures et dessus en caoutchouc ou en matière plastique, à dessus en lanières ou brides fixées à la semelle par des tétons (sauf chaussures ayant le caractère de jouets)</v>
      </c>
      <c r="C8052">
        <v>33023277</v>
      </c>
      <c r="D8052">
        <v>83913</v>
      </c>
    </row>
    <row r="8053" spans="1:4" x14ac:dyDescent="0.25">
      <c r="A8053" t="str">
        <f>T("   640590")</f>
        <v xml:space="preserve">   640590</v>
      </c>
      <c r="B8053" t="s">
        <v>290</v>
      </c>
      <c r="C8053">
        <v>36417500</v>
      </c>
      <c r="D8053">
        <v>40095</v>
      </c>
    </row>
    <row r="8054" spans="1:4" x14ac:dyDescent="0.25">
      <c r="A8054" t="str">
        <f>T("   640620")</f>
        <v xml:space="preserve">   640620</v>
      </c>
      <c r="B8054" t="str">
        <f>T("   Semelles extérieures et talons de chaussures, en caoutchouc ou en matière plastique")</f>
        <v xml:space="preserve">   Semelles extérieures et talons de chaussures, en caoutchouc ou en matière plastique</v>
      </c>
      <c r="C8054">
        <v>603000</v>
      </c>
      <c r="D8054">
        <v>2010</v>
      </c>
    </row>
    <row r="8055" spans="1:4" x14ac:dyDescent="0.25">
      <c r="A8055" t="str">
        <f>T("   640699")</f>
        <v xml:space="preserve">   640699</v>
      </c>
      <c r="B8055" t="str">
        <f>T("   Parties de chaussures (sauf semelles extérieures et talons en caoutchouc ou matière plastique, dessus de chaussures et leurs parties et sauf parties en général en bois ou en amiante)")</f>
        <v xml:space="preserve">   Parties de chaussures (sauf semelles extérieures et talons en caoutchouc ou matière plastique, dessus de chaussures et leurs parties et sauf parties en général en bois ou en amiante)</v>
      </c>
      <c r="C8055">
        <v>116400</v>
      </c>
      <c r="D8055">
        <v>388</v>
      </c>
    </row>
    <row r="8056" spans="1:4" x14ac:dyDescent="0.25">
      <c r="A8056" t="str">
        <f>T("   650610")</f>
        <v xml:space="preserve">   650610</v>
      </c>
      <c r="B8056" t="str">
        <f>T("   Coiffures de sécurité, même garnies")</f>
        <v xml:space="preserve">   Coiffures de sécurité, même garnies</v>
      </c>
      <c r="C8056">
        <v>3324000</v>
      </c>
      <c r="D8056">
        <v>3190</v>
      </c>
    </row>
    <row r="8057" spans="1:4" x14ac:dyDescent="0.25">
      <c r="A8057" t="str">
        <f>T("   660199")</f>
        <v xml:space="preserve">   660199</v>
      </c>
      <c r="B8057" t="str">
        <f>T("   Parapluies, y.c. les parapluies-cannes et ombrelles (sauf parapluies et ombrelles à mât ou à manche télescopique, parasols de jardin et articles simil. et sauf jouets d'enfants)")</f>
        <v xml:space="preserve">   Parapluies, y.c. les parapluies-cannes et ombrelles (sauf parapluies et ombrelles à mât ou à manche télescopique, parasols de jardin et articles simil. et sauf jouets d'enfants)</v>
      </c>
      <c r="C8057">
        <v>206850</v>
      </c>
      <c r="D8057">
        <v>130</v>
      </c>
    </row>
    <row r="8058" spans="1:4" x14ac:dyDescent="0.25">
      <c r="A8058" t="str">
        <f>T("   670419")</f>
        <v xml:space="preserve">   670419</v>
      </c>
      <c r="B8058" t="str">
        <f>T("   Barbes, sourcils, cils, mèches et articles simil., en matières textiles synthétiques (sauf perruques complètes)")</f>
        <v xml:space="preserve">   Barbes, sourcils, cils, mèches et articles simil., en matières textiles synthétiques (sauf perruques complètes)</v>
      </c>
      <c r="C8058">
        <v>43959500</v>
      </c>
      <c r="D8058">
        <v>49611</v>
      </c>
    </row>
    <row r="8059" spans="1:4" x14ac:dyDescent="0.25">
      <c r="A8059" t="str">
        <f>T("   680990")</f>
        <v xml:space="preserve">   680990</v>
      </c>
      <c r="B8059" t="s">
        <v>302</v>
      </c>
      <c r="C8059">
        <v>4001900</v>
      </c>
      <c r="D8059">
        <v>11434</v>
      </c>
    </row>
    <row r="8060" spans="1:4" x14ac:dyDescent="0.25">
      <c r="A8060" t="str">
        <f>T("   681110")</f>
        <v xml:space="preserve">   681110</v>
      </c>
      <c r="B8060" t="str">
        <f>T("   Plaques ondulées en amiante-ciment, cellulose-ciment ou simil.")</f>
        <v xml:space="preserve">   Plaques ondulées en amiante-ciment, cellulose-ciment ou simil.</v>
      </c>
      <c r="C8060">
        <v>392046980</v>
      </c>
      <c r="D8060">
        <v>1305000</v>
      </c>
    </row>
    <row r="8061" spans="1:4" x14ac:dyDescent="0.25">
      <c r="A8061" t="str">
        <f>T("   681120")</f>
        <v xml:space="preserve">   681120</v>
      </c>
      <c r="B8061" t="str">
        <f>T("   Plaques, panneaux, carreaux, tuiles et articles simil., en amiante-ciment, cellulose-ciment ou simil. (sauf plaques ondulées)")</f>
        <v xml:space="preserve">   Plaques, panneaux, carreaux, tuiles et articles simil., en amiante-ciment, cellulose-ciment ou simil. (sauf plaques ondulées)</v>
      </c>
      <c r="C8061">
        <v>20000</v>
      </c>
      <c r="D8061">
        <v>40</v>
      </c>
    </row>
    <row r="8062" spans="1:4" x14ac:dyDescent="0.25">
      <c r="A8062" t="str">
        <f>T("   690810")</f>
        <v xml:space="preserve">   690810</v>
      </c>
      <c r="B8062" t="str">
        <f>T("   Carreaux, cubes, dés et simil., en céramique, pour mosaïques, vernissés ou émaillés, même de forme autre que carrée ou rectangulaire, dont la plus grande surface peut être inscrite dans un carré de côté &lt; 7 cm, même sur support")</f>
        <v xml:space="preserve">   Carreaux, cubes, dés et simil., en céramique, pour mosaïques, vernissés ou émaillés, même de forme autre que carrée ou rectangulaire, dont la plus grande surface peut être inscrite dans un carré de côté &lt; 7 cm, même sur support</v>
      </c>
      <c r="C8062">
        <v>201600</v>
      </c>
      <c r="D8062">
        <v>300</v>
      </c>
    </row>
    <row r="8063" spans="1:4" x14ac:dyDescent="0.25">
      <c r="A8063" t="str">
        <f>T("   691010")</f>
        <v xml:space="preserve">   691010</v>
      </c>
      <c r="B8063" t="s">
        <v>312</v>
      </c>
      <c r="C8063">
        <v>344800</v>
      </c>
      <c r="D8063">
        <v>450</v>
      </c>
    </row>
    <row r="8064" spans="1:4" x14ac:dyDescent="0.25">
      <c r="A8064" t="str">
        <f>T("   691090")</f>
        <v xml:space="preserve">   691090</v>
      </c>
      <c r="B8064" t="s">
        <v>313</v>
      </c>
      <c r="C8064">
        <v>28761</v>
      </c>
      <c r="D8064">
        <v>505</v>
      </c>
    </row>
    <row r="8065" spans="1:4" x14ac:dyDescent="0.25">
      <c r="A8065" t="str">
        <f>T("   691110")</f>
        <v xml:space="preserve">   691110</v>
      </c>
      <c r="B8065" t="s">
        <v>314</v>
      </c>
      <c r="C8065">
        <v>175000</v>
      </c>
      <c r="D8065">
        <v>165</v>
      </c>
    </row>
    <row r="8066" spans="1:4" x14ac:dyDescent="0.25">
      <c r="A8066" t="str">
        <f>T("   691200")</f>
        <v xml:space="preserve">   691200</v>
      </c>
      <c r="B8066" t="s">
        <v>316</v>
      </c>
      <c r="C8066">
        <v>219000</v>
      </c>
      <c r="D8066">
        <v>219</v>
      </c>
    </row>
    <row r="8067" spans="1:4" x14ac:dyDescent="0.25">
      <c r="A8067" t="str">
        <f>T("   700490")</f>
        <v xml:space="preserve">   700490</v>
      </c>
      <c r="B8067" t="str">
        <f>T("   FEUILLES EN VERRE ÉTIRÉ OU SOUFFLÉ MAIS NON AUTREMENT TRAVAILLÉ (AUTRES QU'EN VERRE COLORÉ DANS LA MASSE, OPACIFIÉ, PLAQUÉ [DOUBLÉ], OU À COUCHE ABSORBANTE, RÉFLÉCHISSANTE OU NON-RÉFLÉCHISSANTE)")</f>
        <v xml:space="preserve">   FEUILLES EN VERRE ÉTIRÉ OU SOUFFLÉ MAIS NON AUTREMENT TRAVAILLÉ (AUTRES QU'EN VERRE COLORÉ DANS LA MASSE, OPACIFIÉ, PLAQUÉ [DOUBLÉ], OU À COUCHE ABSORBANTE, RÉFLÉCHISSANTE OU NON-RÉFLÉCHISSANTE)</v>
      </c>
      <c r="C8067">
        <v>2484000</v>
      </c>
      <c r="D8067">
        <v>15500</v>
      </c>
    </row>
    <row r="8068" spans="1:4" x14ac:dyDescent="0.25">
      <c r="A8068" t="str">
        <f>T("   700510")</f>
        <v xml:space="preserve">   700510</v>
      </c>
      <c r="B8068" t="str">
        <f>T("   PLAQUES OU FEUILLES EN GLACE [VERRE FLOTTÉ ET VERRE DOUCI OU POLI SUR UNE OU DEUX FACES], À COUCHE ABSORBANTE, RÉFLÉCHISSANTE OU NON-RÉFLÉCHISSANTE, MAIS NON AUTREMENT TRAVAILLÉE (SAUF ARMÉE)")</f>
        <v xml:space="preserve">   PLAQUES OU FEUILLES EN GLACE [VERRE FLOTTÉ ET VERRE DOUCI OU POLI SUR UNE OU DEUX FACES], À COUCHE ABSORBANTE, RÉFLÉCHISSANTE OU NON-RÉFLÉCHISSANTE, MAIS NON AUTREMENT TRAVAILLÉE (SAUF ARMÉE)</v>
      </c>
      <c r="C8068">
        <v>3120000</v>
      </c>
      <c r="D8068">
        <v>20000</v>
      </c>
    </row>
    <row r="8069" spans="1:4" x14ac:dyDescent="0.25">
      <c r="A8069" t="str">
        <f>T("   700529")</f>
        <v xml:space="preserve">   700529</v>
      </c>
      <c r="B8069" t="s">
        <v>318</v>
      </c>
      <c r="C8069">
        <v>21754750</v>
      </c>
      <c r="D8069">
        <v>97054</v>
      </c>
    </row>
    <row r="8070" spans="1:4" x14ac:dyDescent="0.25">
      <c r="A8070" t="str">
        <f>T("   700711")</f>
        <v xml:space="preserve">   700711</v>
      </c>
      <c r="B8070" t="str">
        <f>T("   VERRES TREMPÉS DE DIMENSIONS ET FORMATS PERMETTANT LEUR EMPLOI DANS LES AUTOMOBILES, VÉHICULES AÉRIENS, BATEAUX OU AUTRES VÉHICULES [01/01/1988-31/12/1988: VERRES TREMPES, -DE SECURITE-, POUR AUTOMOBILES, AERODYNES, BATEAUX OU AUTRES VÉHICULES]")</f>
        <v xml:space="preserve">   VERRES TREMPÉS DE DIMENSIONS ET FORMATS PERMETTANT LEUR EMPLOI DANS LES AUTOMOBILES, VÉHICULES AÉRIENS, BATEAUX OU AUTRES VÉHICULES [01/01/1988-31/12/1988: VERRES TREMPES, -DE SECURITE-, POUR AUTOMOBILES, AERODYNES, BATEAUX OU AUTRES VÉHICULES]</v>
      </c>
      <c r="C8070">
        <v>4073200</v>
      </c>
      <c r="D8070">
        <v>10850</v>
      </c>
    </row>
    <row r="8071" spans="1:4" x14ac:dyDescent="0.25">
      <c r="A8071" t="str">
        <f>T("   700721")</f>
        <v xml:space="preserve">   700721</v>
      </c>
      <c r="B8071" t="s">
        <v>321</v>
      </c>
      <c r="C8071">
        <v>735000</v>
      </c>
      <c r="D8071">
        <v>1100</v>
      </c>
    </row>
    <row r="8072" spans="1:4" x14ac:dyDescent="0.25">
      <c r="A8072" t="str">
        <f>T("   700991")</f>
        <v xml:space="preserve">   700991</v>
      </c>
      <c r="B8072" t="str">
        <f>T("   Miroirs en verre non encadrés (sauf miroirs rétroviseurs pour véhicules, miroirs optiques, optiquement travaillés et miroirs de plus de 100 ans)")</f>
        <v xml:space="preserve">   Miroirs en verre non encadrés (sauf miroirs rétroviseurs pour véhicules, miroirs optiques, optiquement travaillés et miroirs de plus de 100 ans)</v>
      </c>
      <c r="C8072">
        <v>46000</v>
      </c>
      <c r="D8072">
        <v>310</v>
      </c>
    </row>
    <row r="8073" spans="1:4" x14ac:dyDescent="0.25">
      <c r="A8073" t="str">
        <f>T("   701090")</f>
        <v xml:space="preserve">   701090</v>
      </c>
      <c r="B8073" t="s">
        <v>323</v>
      </c>
      <c r="C8073">
        <v>97666540</v>
      </c>
      <c r="D8073">
        <v>186160</v>
      </c>
    </row>
    <row r="8074" spans="1:4" x14ac:dyDescent="0.25">
      <c r="A8074" t="str">
        <f>T("   701092")</f>
        <v xml:space="preserve">   701092</v>
      </c>
      <c r="B8074" t="s">
        <v>325</v>
      </c>
      <c r="C8074">
        <v>8455000</v>
      </c>
      <c r="D8074">
        <v>208250</v>
      </c>
    </row>
    <row r="8075" spans="1:4" x14ac:dyDescent="0.25">
      <c r="A8075" t="str">
        <f>T("   701329")</f>
        <v xml:space="preserve">   701329</v>
      </c>
      <c r="B8075" t="str">
        <f>T("   Verres à boire (autres qu'en vitrocérame, autres qu'en cristal au plomb)")</f>
        <v xml:space="preserve">   Verres à boire (autres qu'en vitrocérame, autres qu'en cristal au plomb)</v>
      </c>
      <c r="C8075">
        <v>19001020</v>
      </c>
      <c r="D8075">
        <v>48605</v>
      </c>
    </row>
    <row r="8076" spans="1:4" x14ac:dyDescent="0.25">
      <c r="A8076" t="str">
        <f>T("   701790")</f>
        <v xml:space="preserve">   701790</v>
      </c>
      <c r="B8076" t="s">
        <v>332</v>
      </c>
      <c r="C8076">
        <v>27611</v>
      </c>
      <c r="D8076">
        <v>775</v>
      </c>
    </row>
    <row r="8077" spans="1:4" x14ac:dyDescent="0.25">
      <c r="A8077" t="str">
        <f>T("   710122")</f>
        <v xml:space="preserve">   710122</v>
      </c>
      <c r="B8077" t="str">
        <f>T("   Perles de culture, travaillées, même assorties, mais non enfilées, ni montées, ni serties, et perles de culture travaillées enfilées temporairement pour la facilité du transport")</f>
        <v xml:space="preserve">   Perles de culture, travaillées, même assorties, mais non enfilées, ni montées, ni serties, et perles de culture travaillées enfilées temporairement pour la facilité du transport</v>
      </c>
      <c r="C8077">
        <v>868500</v>
      </c>
      <c r="D8077">
        <v>1737</v>
      </c>
    </row>
    <row r="8078" spans="1:4" x14ac:dyDescent="0.25">
      <c r="A8078" t="str">
        <f>T("   711790")</f>
        <v xml:space="preserve">   711790</v>
      </c>
      <c r="B8078" t="str">
        <f>T("   Bijouterie de fantaisie (autre qu'en métaux communs, même argentés, dorés ou platinés)")</f>
        <v xml:space="preserve">   Bijouterie de fantaisie (autre qu'en métaux communs, même argentés, dorés ou platinés)</v>
      </c>
      <c r="C8078">
        <v>27073470</v>
      </c>
      <c r="D8078">
        <v>8747</v>
      </c>
    </row>
    <row r="8079" spans="1:4" x14ac:dyDescent="0.25">
      <c r="A8079" t="str">
        <f>T("   720410")</f>
        <v xml:space="preserve">   720410</v>
      </c>
      <c r="B8079" t="str">
        <f>T("   DÉCHETS ET DÉBRIS DE FONTE -FERRAILLES- (AUTRES QUE RADIOACTIFS)")</f>
        <v xml:space="preserve">   DÉCHETS ET DÉBRIS DE FONTE -FERRAILLES- (AUTRES QUE RADIOACTIFS)</v>
      </c>
      <c r="C8079">
        <v>79247094</v>
      </c>
      <c r="D8079">
        <v>1125453</v>
      </c>
    </row>
    <row r="8080" spans="1:4" x14ac:dyDescent="0.25">
      <c r="A8080" t="str">
        <f>T("   721041")</f>
        <v xml:space="preserve">   721041</v>
      </c>
      <c r="B8080" t="str">
        <f>T("   Produits laminés plats, en fer ou en aciers non alliés, d'une largeur &gt;= 600 mm, laminés à chaud ou à froid, zingués, ondulés (à l'excl. des produits zingués électrolytiquement)")</f>
        <v xml:space="preserve">   Produits laminés plats, en fer ou en aciers non alliés, d'une largeur &gt;= 600 mm, laminés à chaud ou à froid, zingués, ondulés (à l'excl. des produits zingués électrolytiquement)</v>
      </c>
      <c r="C8080">
        <v>60714377</v>
      </c>
      <c r="D8080">
        <v>88560</v>
      </c>
    </row>
    <row r="8081" spans="1:4" x14ac:dyDescent="0.25">
      <c r="A8081" t="str">
        <f>T("   721090")</f>
        <v xml:space="preserve">   721090</v>
      </c>
      <c r="B8081" t="s">
        <v>337</v>
      </c>
      <c r="C8081">
        <v>109511000</v>
      </c>
      <c r="D8081">
        <v>426455</v>
      </c>
    </row>
    <row r="8082" spans="1:4" x14ac:dyDescent="0.25">
      <c r="A8082" t="str">
        <f>T("   721410")</f>
        <v xml:space="preserve">   721410</v>
      </c>
      <c r="B8082" t="str">
        <f>T("   Barres, en fer ou en aciers non alliés, simplement forgées")</f>
        <v xml:space="preserve">   Barres, en fer ou en aciers non alliés, simplement forgées</v>
      </c>
      <c r="C8082">
        <v>52500</v>
      </c>
      <c r="D8082">
        <v>50</v>
      </c>
    </row>
    <row r="8083" spans="1:4" x14ac:dyDescent="0.25">
      <c r="A8083" t="str">
        <f>T("   721420")</f>
        <v xml:space="preserve">   721420</v>
      </c>
      <c r="B8083" t="str">
        <f>T("   BARRES EN FER OU EN ACIERS NON ALLIÉS, COMPORTANT DES INDENTATIONS, BOURRELETS, CREUX OU RELIEFS OBTENUS AU COURS DU LAMINAGE OU AYANT SUBI UNE TORSION APRÈS LAMINAGE")</f>
        <v xml:space="preserve">   BARRES EN FER OU EN ACIERS NON ALLIÉS, COMPORTANT DES INDENTATIONS, BOURRELETS, CREUX OU RELIEFS OBTENUS AU COURS DU LAMINAGE OU AYANT SUBI UNE TORSION APRÈS LAMINAGE</v>
      </c>
      <c r="C8083">
        <v>14403400</v>
      </c>
      <c r="D8083">
        <v>59400</v>
      </c>
    </row>
    <row r="8084" spans="1:4" x14ac:dyDescent="0.25">
      <c r="A8084" t="str">
        <f>T("   721430")</f>
        <v xml:space="preserve">   721430</v>
      </c>
      <c r="B8084" t="s">
        <v>339</v>
      </c>
      <c r="C8084">
        <v>52800</v>
      </c>
      <c r="D8084">
        <v>210</v>
      </c>
    </row>
    <row r="8085" spans="1:4" x14ac:dyDescent="0.25">
      <c r="A8085" t="str">
        <f>T("   721590")</f>
        <v xml:space="preserve">   721590</v>
      </c>
      <c r="B8085" t="str">
        <f>T("   Barres en fer ou en aciers non alliés, obtenues ou parachevées à froid et ayant subi certaines ouvraisons plus poussées ou obtenues à chaud et ayant subi certaines ouvraisons plus poussées, n.d.a.")</f>
        <v xml:space="preserve">   Barres en fer ou en aciers non alliés, obtenues ou parachevées à froid et ayant subi certaines ouvraisons plus poussées ou obtenues à chaud et ayant subi certaines ouvraisons plus poussées, n.d.a.</v>
      </c>
      <c r="C8085">
        <v>62759200</v>
      </c>
      <c r="D8085">
        <v>250785</v>
      </c>
    </row>
    <row r="8086" spans="1:4" x14ac:dyDescent="0.25">
      <c r="A8086" t="str">
        <f>T("   721631")</f>
        <v xml:space="preserve">   721631</v>
      </c>
      <c r="B8086" t="str">
        <f>T("   PROFILÉS EN U, EN FER OU EN ACIERS NON-ALLIÉS, SIMPL. LAMINÉS OU FILÉS À CHAUD, D'UNE HAUTEUR &gt;= 80 MM")</f>
        <v xml:space="preserve">   PROFILÉS EN U, EN FER OU EN ACIERS NON-ALLIÉS, SIMPL. LAMINÉS OU FILÉS À CHAUD, D'UNE HAUTEUR &gt;= 80 MM</v>
      </c>
      <c r="C8086">
        <v>15003696</v>
      </c>
      <c r="D8086">
        <v>60645</v>
      </c>
    </row>
    <row r="8087" spans="1:4" x14ac:dyDescent="0.25">
      <c r="A8087" t="str">
        <f>T("   721633")</f>
        <v xml:space="preserve">   721633</v>
      </c>
      <c r="B8087" t="str">
        <f>T("   PROFILÉS EN H, EN FER OU EN ACIERS NON-ALLIÉS, SIMPL. LAMINÉS OU FILÉS À CHAUD, D'UNE HAUTEUR &gt;= 80 MM")</f>
        <v xml:space="preserve">   PROFILÉS EN H, EN FER OU EN ACIERS NON-ALLIÉS, SIMPL. LAMINÉS OU FILÉS À CHAUD, D'UNE HAUTEUR &gt;= 80 MM</v>
      </c>
      <c r="C8087">
        <v>6338800</v>
      </c>
      <c r="D8087">
        <v>24355</v>
      </c>
    </row>
    <row r="8088" spans="1:4" x14ac:dyDescent="0.25">
      <c r="A8088" t="str">
        <f>T("   730110")</f>
        <v xml:space="preserve">   730110</v>
      </c>
      <c r="B8088" t="str">
        <f>T("   PALPLANCHES EN FER OU EN ACIER, MÊME PERCÉES OU FAITES D'ÉLÉMENTS ASSEMBLÉS")</f>
        <v xml:space="preserve">   PALPLANCHES EN FER OU EN ACIER, MÊME PERCÉES OU FAITES D'ÉLÉMENTS ASSEMBLÉS</v>
      </c>
      <c r="C8088">
        <v>40000</v>
      </c>
      <c r="D8088">
        <v>200</v>
      </c>
    </row>
    <row r="8089" spans="1:4" x14ac:dyDescent="0.25">
      <c r="A8089" t="str">
        <f>T("   730300")</f>
        <v xml:space="preserve">   730300</v>
      </c>
      <c r="B8089" t="str">
        <f>T("   Tubes, tuyaux et profilés creux, en fonte")</f>
        <v xml:space="preserve">   Tubes, tuyaux et profilés creux, en fonte</v>
      </c>
      <c r="C8089">
        <v>22744500</v>
      </c>
      <c r="D8089">
        <v>85510</v>
      </c>
    </row>
    <row r="8090" spans="1:4" x14ac:dyDescent="0.25">
      <c r="A8090" t="str">
        <f>T("   730431")</f>
        <v xml:space="preserve">   730431</v>
      </c>
      <c r="B8090" t="s">
        <v>343</v>
      </c>
      <c r="C8090">
        <v>100000</v>
      </c>
      <c r="D8090">
        <v>200</v>
      </c>
    </row>
    <row r="8091" spans="1:4" x14ac:dyDescent="0.25">
      <c r="A8091" t="str">
        <f>T("   730490")</f>
        <v xml:space="preserve">   730490</v>
      </c>
      <c r="B8091" t="str">
        <f>T("   Tubes, tuyaux et profilés creux, sans soudure, de section autre que circulaire, en fer (à l'excl. de la fonte) ou en acier")</f>
        <v xml:space="preserve">   Tubes, tuyaux et profilés creux, sans soudure, de section autre que circulaire, en fer (à l'excl. de la fonte) ou en acier</v>
      </c>
      <c r="C8091">
        <v>38000</v>
      </c>
      <c r="D8091">
        <v>50</v>
      </c>
    </row>
    <row r="8092" spans="1:4" x14ac:dyDescent="0.25">
      <c r="A8092" t="str">
        <f>T("   730630")</f>
        <v xml:space="preserve">   730630</v>
      </c>
      <c r="B8092" t="s">
        <v>345</v>
      </c>
      <c r="C8092">
        <v>2597000</v>
      </c>
      <c r="D8092">
        <v>2805</v>
      </c>
    </row>
    <row r="8093" spans="1:4" x14ac:dyDescent="0.25">
      <c r="A8093" t="str">
        <f>T("   730690")</f>
        <v xml:space="preserve">   730690</v>
      </c>
      <c r="B8093" t="str">
        <f>T("   Tubes, tuyaux et profilés creux [p.ex. rivés, agrafés ou à bords simplement rapprochés], en fer ou en acier (sauf tubes sans soudure ou soudés et tubes de sections intérieure et extérieure circulaires et d'un diamètre extérieur &gt; 406,4 mm)")</f>
        <v xml:space="preserve">   Tubes, tuyaux et profilés creux [p.ex. rivés, agrafés ou à bords simplement rapprochés], en fer ou en acier (sauf tubes sans soudure ou soudés et tubes de sections intérieure et extérieure circulaires et d'un diamètre extérieur &gt; 406,4 mm)</v>
      </c>
      <c r="C8093">
        <v>426000</v>
      </c>
      <c r="D8093">
        <v>1500</v>
      </c>
    </row>
    <row r="8094" spans="1:4" x14ac:dyDescent="0.25">
      <c r="A8094" t="str">
        <f>T("   730820")</f>
        <v xml:space="preserve">   730820</v>
      </c>
      <c r="B8094" t="str">
        <f>T("   Tours et pylônes, en fer ou en acier")</f>
        <v xml:space="preserve">   Tours et pylônes, en fer ou en acier</v>
      </c>
      <c r="C8094">
        <v>132374198</v>
      </c>
      <c r="D8094">
        <v>233500</v>
      </c>
    </row>
    <row r="8095" spans="1:4" x14ac:dyDescent="0.25">
      <c r="A8095" t="str">
        <f>T("   731010")</f>
        <v xml:space="preserve">   731010</v>
      </c>
      <c r="B8095" t="str">
        <f>T("   RÉSERVOIRS, F¹TS, TAMBOURS, BIDONS, BOÎTES ET RÉCIPIENTS SIMIL. EN FONTE, FER OU ACIER, POUR TOUTES MATIÈRES, CONTENANCE &gt;= 50 L MAIS &lt;= 300 L, N.D.A. (À L'EXCL. DES GAZ COMPRIMÉS OU LIQUÉFIÉS ET SAUF AVEC DISPOSITIFS MÉCANIQUES OU THERMIQUES)")</f>
        <v xml:space="preserve">   RÉSERVOIRS, F¹TS, TAMBOURS, BIDONS, BOÎTES ET RÉCIPIENTS SIMIL. EN FONTE, FER OU ACIER, POUR TOUTES MATIÈRES, CONTENANCE &gt;= 50 L MAIS &lt;= 300 L, N.D.A. (À L'EXCL. DES GAZ COMPRIMÉS OU LIQUÉFIÉS ET SAUF AVEC DISPOSITIFS MÉCANIQUES OU THERMIQUES)</v>
      </c>
      <c r="C8095">
        <v>150000</v>
      </c>
      <c r="D8095">
        <v>700</v>
      </c>
    </row>
    <row r="8096" spans="1:4" x14ac:dyDescent="0.25">
      <c r="A8096" t="str">
        <f>T("   731021")</f>
        <v xml:space="preserve">   731021</v>
      </c>
      <c r="B8096" t="str">
        <f>T("   Boîtes en fer ou en acier, contenance &lt; 50 l, à fermer par soudage ou sertissage (sauf pour gaz comprimés ou liquéfiés)")</f>
        <v xml:space="preserve">   Boîtes en fer ou en acier, contenance &lt; 50 l, à fermer par soudage ou sertissage (sauf pour gaz comprimés ou liquéfiés)</v>
      </c>
      <c r="C8096">
        <v>21000</v>
      </c>
      <c r="D8096">
        <v>60</v>
      </c>
    </row>
    <row r="8097" spans="1:4" x14ac:dyDescent="0.25">
      <c r="A8097" t="str">
        <f>T("   731441")</f>
        <v xml:space="preserve">   731441</v>
      </c>
      <c r="B8097" t="str">
        <f>T("   GRILLAGES ET TREILLIS, EN FILS DE FER OU D'ACIER, NON-SOUDÉS AUX POINTS DE RENCONTRE, ZINGUÉS")</f>
        <v xml:space="preserve">   GRILLAGES ET TREILLIS, EN FILS DE FER OU D'ACIER, NON-SOUDÉS AUX POINTS DE RENCONTRE, ZINGUÉS</v>
      </c>
      <c r="C8097">
        <v>22500</v>
      </c>
      <c r="D8097">
        <v>25</v>
      </c>
    </row>
    <row r="8098" spans="1:4" x14ac:dyDescent="0.25">
      <c r="A8098" t="str">
        <f>T("   731449")</f>
        <v xml:space="preserve">   731449</v>
      </c>
      <c r="B8098" t="str">
        <f>T("   Toiles métalliques nontissées, grillages et treillis, en fils de fer ou d'acier, non soudés aux points de rencontre (sauf zingués ou recouverts de matières plastiques)")</f>
        <v xml:space="preserve">   Toiles métalliques nontissées, grillages et treillis, en fils de fer ou d'acier, non soudés aux points de rencontre (sauf zingués ou recouverts de matières plastiques)</v>
      </c>
      <c r="C8098">
        <v>343400</v>
      </c>
      <c r="D8098">
        <v>808</v>
      </c>
    </row>
    <row r="8099" spans="1:4" x14ac:dyDescent="0.25">
      <c r="A8099" t="str">
        <f>T("   731700")</f>
        <v xml:space="preserve">   731700</v>
      </c>
      <c r="B8099" t="str">
        <f>T("   Pointes, clous, punaises, crampons appointés, agrafes ondulées ou biseautées et articles simil., en fonte, fer ou acier, même avec tête en autre matière (à l'excl. de ceux avec tête en cuivre et à l'excl. des agrafes en barrettes)")</f>
        <v xml:space="preserve">   Pointes, clous, punaises, crampons appointés, agrafes ondulées ou biseautées et articles simil., en fonte, fer ou acier, même avec tête en autre matière (à l'excl. de ceux avec tête en cuivre et à l'excl. des agrafes en barrettes)</v>
      </c>
      <c r="C8099">
        <v>34500</v>
      </c>
      <c r="D8099">
        <v>115</v>
      </c>
    </row>
    <row r="8100" spans="1:4" x14ac:dyDescent="0.25">
      <c r="A8100" t="str">
        <f>T("   731815")</f>
        <v xml:space="preserve">   731815</v>
      </c>
      <c r="B8100" t="s">
        <v>354</v>
      </c>
      <c r="C8100">
        <v>1120000</v>
      </c>
      <c r="D8100">
        <v>1400</v>
      </c>
    </row>
    <row r="8101" spans="1:4" x14ac:dyDescent="0.25">
      <c r="A8101" t="str">
        <f>T("   732112")</f>
        <v xml:space="preserve">   732112</v>
      </c>
      <c r="B8101" t="s">
        <v>357</v>
      </c>
      <c r="C8101">
        <v>34440</v>
      </c>
      <c r="D8101">
        <v>80</v>
      </c>
    </row>
    <row r="8102" spans="1:4" x14ac:dyDescent="0.25">
      <c r="A8102" t="str">
        <f>T("   732310")</f>
        <v xml:space="preserve">   732310</v>
      </c>
      <c r="B8102" t="str">
        <f>T("   Paille de fer ou d'acier; éponges, torchons, gants et articles simil. pour le récurage, le polissage ou usages analogues, en fer ou acier")</f>
        <v xml:space="preserve">   Paille de fer ou d'acier; éponges, torchons, gants et articles simil. pour le récurage, le polissage ou usages analogues, en fer ou acier</v>
      </c>
      <c r="C8102">
        <v>66600</v>
      </c>
      <c r="D8102">
        <v>74</v>
      </c>
    </row>
    <row r="8103" spans="1:4" x14ac:dyDescent="0.25">
      <c r="A8103" t="str">
        <f>T("   732392")</f>
        <v xml:space="preserve">   732392</v>
      </c>
      <c r="B8103" t="s">
        <v>359</v>
      </c>
      <c r="C8103">
        <v>332950</v>
      </c>
      <c r="D8103">
        <v>838</v>
      </c>
    </row>
    <row r="8104" spans="1:4" x14ac:dyDescent="0.25">
      <c r="A8104" t="str">
        <f>T("   732394")</f>
        <v xml:space="preserve">   732394</v>
      </c>
      <c r="B8104" t="s">
        <v>361</v>
      </c>
      <c r="C8104">
        <v>25912685</v>
      </c>
      <c r="D8104">
        <v>74402</v>
      </c>
    </row>
    <row r="8105" spans="1:4" x14ac:dyDescent="0.25">
      <c r="A8105" t="str">
        <f>T("   732399")</f>
        <v xml:space="preserve">   732399</v>
      </c>
      <c r="B8105" t="s">
        <v>362</v>
      </c>
      <c r="C8105">
        <v>392000</v>
      </c>
      <c r="D8105">
        <v>1120</v>
      </c>
    </row>
    <row r="8106" spans="1:4" x14ac:dyDescent="0.25">
      <c r="A8106" t="str">
        <f>T("   740319")</f>
        <v xml:space="preserve">   740319</v>
      </c>
      <c r="B8106" t="str">
        <f>T("   Cuivre affiné, sous forme brute (autre que sous forme de billettes, barres à fil, cathodes ou sections de cathodes)")</f>
        <v xml:space="preserve">   Cuivre affiné, sous forme brute (autre que sous forme de billettes, barres à fil, cathodes ou sections de cathodes)</v>
      </c>
      <c r="C8106">
        <v>72000</v>
      </c>
      <c r="D8106">
        <v>320</v>
      </c>
    </row>
    <row r="8107" spans="1:4" x14ac:dyDescent="0.25">
      <c r="A8107" t="str">
        <f>T("   741220")</f>
        <v xml:space="preserve">   741220</v>
      </c>
      <c r="B8107" t="str">
        <f>T("   Accessoires de tuyauterie -raccords, coudes, manchons, par exemple-, en alliages de cuivre")</f>
        <v xml:space="preserve">   Accessoires de tuyauterie -raccords, coudes, manchons, par exemple-, en alliages de cuivre</v>
      </c>
      <c r="C8107">
        <v>1807800</v>
      </c>
      <c r="D8107">
        <v>7080</v>
      </c>
    </row>
    <row r="8108" spans="1:4" x14ac:dyDescent="0.25">
      <c r="A8108" t="str">
        <f>T("   760200")</f>
        <v xml:space="preserve">   760200</v>
      </c>
      <c r="B8108" t="s">
        <v>366</v>
      </c>
      <c r="C8108">
        <v>47960</v>
      </c>
      <c r="D8108">
        <v>436</v>
      </c>
    </row>
    <row r="8109" spans="1:4" x14ac:dyDescent="0.25">
      <c r="A8109" t="str">
        <f>T("   760429")</f>
        <v xml:space="preserve">   760429</v>
      </c>
      <c r="B8109" t="str">
        <f>T("   Barres et profilés pleins en alliages d'aluminium, n.d.a.")</f>
        <v xml:space="preserve">   Barres et profilés pleins en alliages d'aluminium, n.d.a.</v>
      </c>
      <c r="C8109">
        <v>2195000</v>
      </c>
      <c r="D8109">
        <v>1050</v>
      </c>
    </row>
    <row r="8110" spans="1:4" x14ac:dyDescent="0.25">
      <c r="A8110" t="str">
        <f>T("   760611")</f>
        <v xml:space="preserve">   760611</v>
      </c>
      <c r="B8110" t="str">
        <f>T("   TÔLES ET BANDES EN ALUMINIUM NON-ALLIÉ, D'UNE ÉPAISSEUR &gt; 0,2 MM, DE FORME CARRÉE OU RECTANGULAIRE (SAUF TÔLES ET BANDES DÉPLOYÉES)")</f>
        <v xml:space="preserve">   TÔLES ET BANDES EN ALUMINIUM NON-ALLIÉ, D'UNE ÉPAISSEUR &gt; 0,2 MM, DE FORME CARRÉE OU RECTANGULAIRE (SAUF TÔLES ET BANDES DÉPLOYÉES)</v>
      </c>
      <c r="C8110">
        <v>750000</v>
      </c>
      <c r="D8110">
        <v>1000</v>
      </c>
    </row>
    <row r="8111" spans="1:4" x14ac:dyDescent="0.25">
      <c r="A8111" t="str">
        <f>T("   760692")</f>
        <v xml:space="preserve">   760692</v>
      </c>
      <c r="B8111" t="str">
        <f>T("   Tôles et bandes en alliages d'aluminium, d'une épaisseur &gt; 0,2 mm, de forme autre que carrée ou rectangulaire")</f>
        <v xml:space="preserve">   Tôles et bandes en alliages d'aluminium, d'une épaisseur &gt; 0,2 mm, de forme autre que carrée ou rectangulaire</v>
      </c>
      <c r="C8111">
        <v>2000000</v>
      </c>
      <c r="D8111">
        <v>2000</v>
      </c>
    </row>
    <row r="8112" spans="1:4" x14ac:dyDescent="0.25">
      <c r="A8112" t="str">
        <f>T("   760719")</f>
        <v xml:space="preserve">   760719</v>
      </c>
      <c r="B8112" t="str">
        <f>T("   Feuilles et bandes minces d'aluminium, sans support, laminées et autrement traitées, d'une épaisseur &lt;= 0,2 mm (sauf feuilles pour le marquage au fer du n° 3212 et sauf feuilles travaillées pour la décoration des sapins de Noël)")</f>
        <v xml:space="preserve">   Feuilles et bandes minces d'aluminium, sans support, laminées et autrement traitées, d'une épaisseur &lt;= 0,2 mm (sauf feuilles pour le marquage au fer du n° 3212 et sauf feuilles travaillées pour la décoration des sapins de Noël)</v>
      </c>
      <c r="C8112">
        <v>2774000</v>
      </c>
      <c r="D8112">
        <v>5320</v>
      </c>
    </row>
    <row r="8113" spans="1:4" x14ac:dyDescent="0.25">
      <c r="A8113" t="str">
        <f>T("   761010")</f>
        <v xml:space="preserve">   761010</v>
      </c>
      <c r="B8113" t="str">
        <f>T("   Portes, fenêtres et leurs cadres, chambranles et seuils, en aluminium (sauf pièces de garnissage)")</f>
        <v xml:space="preserve">   Portes, fenêtres et leurs cadres, chambranles et seuils, en aluminium (sauf pièces de garnissage)</v>
      </c>
      <c r="C8113">
        <v>100000</v>
      </c>
      <c r="D8113">
        <v>50</v>
      </c>
    </row>
    <row r="8114" spans="1:4" x14ac:dyDescent="0.25">
      <c r="A8114" t="str">
        <f>T("   761519")</f>
        <v xml:space="preserve">   761519</v>
      </c>
      <c r="B8114" t="s">
        <v>367</v>
      </c>
      <c r="C8114">
        <v>355000</v>
      </c>
      <c r="D8114">
        <v>355</v>
      </c>
    </row>
    <row r="8115" spans="1:4" x14ac:dyDescent="0.25">
      <c r="A8115" t="str">
        <f>T("   761610")</f>
        <v xml:space="preserve">   761610</v>
      </c>
      <c r="B8115" t="s">
        <v>368</v>
      </c>
      <c r="C8115">
        <v>612000</v>
      </c>
      <c r="D8115">
        <v>360</v>
      </c>
    </row>
    <row r="8116" spans="1:4" x14ac:dyDescent="0.25">
      <c r="A8116" t="str">
        <f>T("   820210")</f>
        <v xml:space="preserve">   820210</v>
      </c>
      <c r="B8116" t="str">
        <f>T("   Scies à main, avec partie travaillante en métaux communs (à l'excl. des tronçonneuses)")</f>
        <v xml:space="preserve">   Scies à main, avec partie travaillante en métaux communs (à l'excl. des tronçonneuses)</v>
      </c>
      <c r="C8116">
        <v>15000</v>
      </c>
      <c r="D8116">
        <v>40</v>
      </c>
    </row>
    <row r="8117" spans="1:4" x14ac:dyDescent="0.25">
      <c r="A8117" t="str">
        <f>T("   820239")</f>
        <v xml:space="preserve">   820239</v>
      </c>
      <c r="B8117" t="str">
        <f>T("   Lames de scies circulaires, y.c. les lames de fraises-scies, et leurs parties, en métaux communs et avec partie travaillante en matières autres que l'acier")</f>
        <v xml:space="preserve">   Lames de scies circulaires, y.c. les lames de fraises-scies, et leurs parties, en métaux communs et avec partie travaillante en matières autres que l'acier</v>
      </c>
      <c r="C8117">
        <v>87500</v>
      </c>
      <c r="D8117">
        <v>250</v>
      </c>
    </row>
    <row r="8118" spans="1:4" x14ac:dyDescent="0.25">
      <c r="A8118" t="str">
        <f>T("   820559")</f>
        <v xml:space="preserve">   820559</v>
      </c>
      <c r="B8118" t="str">
        <f>T("   Outils à main, y.c. -les diamants de vitrier-, en métaux communs, n.d.a.")</f>
        <v xml:space="preserve">   Outils à main, y.c. -les diamants de vitrier-, en métaux communs, n.d.a.</v>
      </c>
      <c r="C8118">
        <v>560375</v>
      </c>
      <c r="D8118">
        <v>282</v>
      </c>
    </row>
    <row r="8119" spans="1:4" x14ac:dyDescent="0.25">
      <c r="A8119" t="str">
        <f>T("   821210")</f>
        <v xml:space="preserve">   821210</v>
      </c>
      <c r="B8119" t="str">
        <f>T("   Rasoirs et rasoirs de sûreté non-électriques, en métaux communs")</f>
        <v xml:space="preserve">   Rasoirs et rasoirs de sûreté non-électriques, en métaux communs</v>
      </c>
      <c r="C8119">
        <v>180268</v>
      </c>
      <c r="D8119">
        <v>76</v>
      </c>
    </row>
    <row r="8120" spans="1:4" x14ac:dyDescent="0.25">
      <c r="A8120" t="str">
        <f>T("   821599")</f>
        <v xml:space="preserve">   821599</v>
      </c>
      <c r="B8120" t="s">
        <v>374</v>
      </c>
      <c r="C8120">
        <v>82744400</v>
      </c>
      <c r="D8120">
        <v>235110</v>
      </c>
    </row>
    <row r="8121" spans="1:4" x14ac:dyDescent="0.25">
      <c r="A8121" t="str">
        <f>T("   830250")</f>
        <v xml:space="preserve">   830250</v>
      </c>
      <c r="B8121" t="str">
        <f>T("   Patères, porte-chapeaux, supports et articles simil. en métaux communs")</f>
        <v xml:space="preserve">   Patères, porte-chapeaux, supports et articles simil. en métaux communs</v>
      </c>
      <c r="C8121">
        <v>20000</v>
      </c>
      <c r="D8121">
        <v>10</v>
      </c>
    </row>
    <row r="8122" spans="1:4" x14ac:dyDescent="0.25">
      <c r="A8122" t="str">
        <f>T("   830300")</f>
        <v xml:space="preserve">   830300</v>
      </c>
      <c r="B8122" t="str">
        <f>T("   Coffres-forts, portes blindées et compartiments pour chambres fortes, coffres et cassettes de sûreté et articles simil., en métaux communs")</f>
        <v xml:space="preserve">   Coffres-forts, portes blindées et compartiments pour chambres fortes, coffres et cassettes de sûreté et articles simil., en métaux communs</v>
      </c>
      <c r="C8122">
        <v>62400</v>
      </c>
      <c r="D8122">
        <v>100</v>
      </c>
    </row>
    <row r="8123" spans="1:4" x14ac:dyDescent="0.25">
      <c r="A8123" t="str">
        <f>T("   830990")</f>
        <v xml:space="preserve">   830990</v>
      </c>
      <c r="B8123" t="str">
        <f>T("   Bouchons [y.c. les bouchons à pas de vis et les bouchons-verseurs], couvercles, capsules pour bouteilles, bondes filetées, plaques de bondes, scellés et autres accessoires d'emballage, en métaux communs (à l'excl. des bouchons-couronnes)")</f>
        <v xml:space="preserve">   Bouchons [y.c. les bouchons à pas de vis et les bouchons-verseurs], couvercles, capsules pour bouteilles, bondes filetées, plaques de bondes, scellés et autres accessoires d'emballage, en métaux communs (à l'excl. des bouchons-couronnes)</v>
      </c>
      <c r="C8123">
        <v>604200</v>
      </c>
      <c r="D8123">
        <v>1418</v>
      </c>
    </row>
    <row r="8124" spans="1:4" x14ac:dyDescent="0.25">
      <c r="A8124" t="str">
        <f>T("   831130")</f>
        <v xml:space="preserve">   831130</v>
      </c>
      <c r="B8124" t="s">
        <v>379</v>
      </c>
      <c r="C8124">
        <v>1509500</v>
      </c>
      <c r="D8124">
        <v>3910</v>
      </c>
    </row>
    <row r="8125" spans="1:4" x14ac:dyDescent="0.25">
      <c r="A8125" t="str">
        <f>T("   840220")</f>
        <v xml:space="preserve">   840220</v>
      </c>
      <c r="B8125" t="str">
        <f>T("   Chaudières dites -à eau surchauffée-")</f>
        <v xml:space="preserve">   Chaudières dites -à eau surchauffée-</v>
      </c>
      <c r="C8125">
        <v>2500</v>
      </c>
      <c r="D8125">
        <v>10</v>
      </c>
    </row>
    <row r="8126" spans="1:4" x14ac:dyDescent="0.25">
      <c r="A8126" t="str">
        <f>T("   840590")</f>
        <v xml:space="preserve">   840590</v>
      </c>
      <c r="B8126" t="str">
        <f>T("   Parties des générateurs de gaz à l'air ou de gaz à l'eau et des générateurs d'acétylène ou des générateurs simil. de gaz par procédé à l'eau, n.d.a.")</f>
        <v xml:space="preserve">   Parties des générateurs de gaz à l'air ou de gaz à l'eau et des générateurs d'acétylène ou des générateurs simil. de gaz par procédé à l'eau, n.d.a.</v>
      </c>
      <c r="C8126">
        <v>274575</v>
      </c>
      <c r="D8126">
        <v>350</v>
      </c>
    </row>
    <row r="8127" spans="1:4" x14ac:dyDescent="0.25">
      <c r="A8127" t="str">
        <f>T("   840729")</f>
        <v xml:space="preserve">   840729</v>
      </c>
      <c r="B8127" t="s">
        <v>383</v>
      </c>
      <c r="C8127">
        <v>400000</v>
      </c>
      <c r="D8127">
        <v>400</v>
      </c>
    </row>
    <row r="8128" spans="1:4" x14ac:dyDescent="0.25">
      <c r="A8128" t="str">
        <f>T("   840734")</f>
        <v xml:space="preserve">   840734</v>
      </c>
      <c r="B8128" t="s">
        <v>386</v>
      </c>
      <c r="C8128">
        <v>7900000</v>
      </c>
      <c r="D8128">
        <v>7250</v>
      </c>
    </row>
    <row r="8129" spans="1:4" x14ac:dyDescent="0.25">
      <c r="A8129" t="str">
        <f>T("   840991")</f>
        <v xml:space="preserve">   840991</v>
      </c>
      <c r="B8129" t="str">
        <f>T("   Parties reconnaissables comme étant exclusivement ou principalement destinées aux moteurs à piston à allumage par étincelles, n.d.a.")</f>
        <v xml:space="preserve">   Parties reconnaissables comme étant exclusivement ou principalement destinées aux moteurs à piston à allumage par étincelles, n.d.a.</v>
      </c>
      <c r="C8129">
        <v>750000</v>
      </c>
      <c r="D8129">
        <v>600</v>
      </c>
    </row>
    <row r="8130" spans="1:4" x14ac:dyDescent="0.25">
      <c r="A8130" t="str">
        <f>T("   841311")</f>
        <v xml:space="preserve">   841311</v>
      </c>
      <c r="B8130" t="str">
        <f>T("   Pompes pour distribution, comportant un dispositif mesureur de liquide ou conçues pour en comporter pour carburants ou lubrifiants, des types utilisés dans les stations-service ou les garages")</f>
        <v xml:space="preserve">   Pompes pour distribution, comportant un dispositif mesureur de liquide ou conçues pour en comporter pour carburants ou lubrifiants, des types utilisés dans les stations-service ou les garages</v>
      </c>
      <c r="C8130">
        <v>300000</v>
      </c>
      <c r="D8130">
        <v>200</v>
      </c>
    </row>
    <row r="8131" spans="1:4" x14ac:dyDescent="0.25">
      <c r="A8131" t="str">
        <f>T("   841319")</f>
        <v xml:space="preserve">   841319</v>
      </c>
      <c r="B8131" t="str">
        <f>T("   Pompes pour liquides, avec dispositif mesureur ou conçues pour en comporter (sauf pompes pour la distribution de carburants ou lubrifiants, des types utilisés dans les stations-service ou les garages)")</f>
        <v xml:space="preserve">   Pompes pour liquides, avec dispositif mesureur ou conçues pour en comporter (sauf pompes pour la distribution de carburants ou lubrifiants, des types utilisés dans les stations-service ou les garages)</v>
      </c>
      <c r="C8131">
        <v>250000</v>
      </c>
      <c r="D8131">
        <v>200</v>
      </c>
    </row>
    <row r="8132" spans="1:4" x14ac:dyDescent="0.25">
      <c r="A8132" t="str">
        <f>T("   841340")</f>
        <v xml:space="preserve">   841340</v>
      </c>
      <c r="B8132" t="str">
        <f>T("   Pompes à béton")</f>
        <v xml:space="preserve">   Pompes à béton</v>
      </c>
      <c r="C8132">
        <v>320000</v>
      </c>
      <c r="D8132">
        <v>400</v>
      </c>
    </row>
    <row r="8133" spans="1:4" x14ac:dyDescent="0.25">
      <c r="A8133" t="str">
        <f>T("   841381")</f>
        <v xml:space="preserve">   841381</v>
      </c>
      <c r="B8133" t="s">
        <v>393</v>
      </c>
      <c r="C8133">
        <v>210000</v>
      </c>
      <c r="D8133">
        <v>350</v>
      </c>
    </row>
    <row r="8134" spans="1:4" x14ac:dyDescent="0.25">
      <c r="A8134" t="str">
        <f>T("   841382")</f>
        <v xml:space="preserve">   841382</v>
      </c>
      <c r="B8134" t="str">
        <f>T("   Elévateurs à liquides (à l'excl. des pompes)")</f>
        <v xml:space="preserve">   Elévateurs à liquides (à l'excl. des pompes)</v>
      </c>
      <c r="C8134">
        <v>1516000</v>
      </c>
      <c r="D8134">
        <v>2130</v>
      </c>
    </row>
    <row r="8135" spans="1:4" x14ac:dyDescent="0.25">
      <c r="A8135" t="str">
        <f>T("   841391")</f>
        <v xml:space="preserve">   841391</v>
      </c>
      <c r="B8135" t="str">
        <f>T("   Parties de pompes pour liquides, n.d.a.")</f>
        <v xml:space="preserve">   Parties de pompes pour liquides, n.d.a.</v>
      </c>
      <c r="C8135">
        <v>120000</v>
      </c>
      <c r="D8135">
        <v>200</v>
      </c>
    </row>
    <row r="8136" spans="1:4" x14ac:dyDescent="0.25">
      <c r="A8136" t="str">
        <f>T("   841430")</f>
        <v xml:space="preserve">   841430</v>
      </c>
      <c r="B8136" t="str">
        <f>T("   Compresseurs des types utilisés pour équipements frigorifiques")</f>
        <v xml:space="preserve">   Compresseurs des types utilisés pour équipements frigorifiques</v>
      </c>
      <c r="C8136">
        <v>1310500</v>
      </c>
      <c r="D8136">
        <v>1312</v>
      </c>
    </row>
    <row r="8137" spans="1:4" x14ac:dyDescent="0.25">
      <c r="A8137" t="str">
        <f>T("   841451")</f>
        <v xml:space="preserve">   841451</v>
      </c>
      <c r="B8137" t="str">
        <f>T("   Ventilateurs de table, de sol, muraux, plafonniers, de toitures ou de fenêtres, à moteur électrique incorporé, d'une puissance &lt;= 125 W")</f>
        <v xml:space="preserve">   Ventilateurs de table, de sol, muraux, plafonniers, de toitures ou de fenêtres, à moteur électrique incorporé, d'une puissance &lt;= 125 W</v>
      </c>
      <c r="C8137">
        <v>80530000</v>
      </c>
      <c r="D8137">
        <v>89995</v>
      </c>
    </row>
    <row r="8138" spans="1:4" x14ac:dyDescent="0.25">
      <c r="A8138" t="str">
        <f>T("   841510")</f>
        <v xml:space="preserve">   841510</v>
      </c>
      <c r="B8138" t="s">
        <v>395</v>
      </c>
      <c r="C8138">
        <v>12434000</v>
      </c>
      <c r="D8138">
        <v>22800</v>
      </c>
    </row>
    <row r="8139" spans="1:4" x14ac:dyDescent="0.25">
      <c r="A8139" t="str">
        <f>T("   841821")</f>
        <v xml:space="preserve">   841821</v>
      </c>
      <c r="B8139" t="str">
        <f>T("   Réfrigérateurs ménagers à compression")</f>
        <v xml:space="preserve">   Réfrigérateurs ménagers à compression</v>
      </c>
      <c r="C8139">
        <v>13822490</v>
      </c>
      <c r="D8139">
        <v>21000</v>
      </c>
    </row>
    <row r="8140" spans="1:4" x14ac:dyDescent="0.25">
      <c r="A8140" t="str">
        <f>T("   841829")</f>
        <v xml:space="preserve">   841829</v>
      </c>
      <c r="B8140" t="str">
        <f>T("   Réfrigérateurs ménagers à absorption, non-électriques")</f>
        <v xml:space="preserve">   Réfrigérateurs ménagers à absorption, non-électriques</v>
      </c>
      <c r="C8140">
        <v>630006</v>
      </c>
      <c r="D8140">
        <v>5150</v>
      </c>
    </row>
    <row r="8141" spans="1:4" x14ac:dyDescent="0.25">
      <c r="A8141" t="str">
        <f>T("   841899")</f>
        <v xml:space="preserve">   841899</v>
      </c>
      <c r="B8141" t="str">
        <f>T("   Parties de réfrigérateurs et de congélateurs-conservateurs du type armoire et du type coffre et d'autres matériel, machines et appareils pour la production du froid, parties de pompes à chaleur, n.d.a.")</f>
        <v xml:space="preserve">   Parties de réfrigérateurs et de congélateurs-conservateurs du type armoire et du type coffre et d'autres matériel, machines et appareils pour la production du froid, parties de pompes à chaleur, n.d.a.</v>
      </c>
      <c r="C8141">
        <v>10370000</v>
      </c>
      <c r="D8141">
        <v>6966</v>
      </c>
    </row>
    <row r="8142" spans="1:4" x14ac:dyDescent="0.25">
      <c r="A8142" t="str">
        <f>T("   841920")</f>
        <v xml:space="preserve">   841920</v>
      </c>
      <c r="B8142" t="str">
        <f>T("   Stérilisateurs médico-chirurgicaux ou de laboratoire")</f>
        <v xml:space="preserve">   Stérilisateurs médico-chirurgicaux ou de laboratoire</v>
      </c>
      <c r="C8142">
        <v>175000</v>
      </c>
      <c r="D8142">
        <v>130</v>
      </c>
    </row>
    <row r="8143" spans="1:4" x14ac:dyDescent="0.25">
      <c r="A8143" t="str">
        <f>T("   842121")</f>
        <v xml:space="preserve">   842121</v>
      </c>
      <c r="B8143" t="str">
        <f>T("   Appareils pour la filtration ou l'épuration des eaux")</f>
        <v xml:space="preserve">   Appareils pour la filtration ou l'épuration des eaux</v>
      </c>
      <c r="C8143">
        <v>40000</v>
      </c>
      <c r="D8143">
        <v>50</v>
      </c>
    </row>
    <row r="8144" spans="1:4" x14ac:dyDescent="0.25">
      <c r="A8144" t="str">
        <f>T("   842123")</f>
        <v xml:space="preserve">   842123</v>
      </c>
      <c r="B8144" t="str">
        <f>T("   Appareils pour la filtration des huiles minérales et carburants pour les moteurs à allumage par étincelles ou par compression")</f>
        <v xml:space="preserve">   Appareils pour la filtration des huiles minérales et carburants pour les moteurs à allumage par étincelles ou par compression</v>
      </c>
      <c r="C8144">
        <v>1733702</v>
      </c>
      <c r="D8144">
        <v>133</v>
      </c>
    </row>
    <row r="8145" spans="1:4" x14ac:dyDescent="0.25">
      <c r="A8145" t="str">
        <f>T("   842230")</f>
        <v xml:space="preserve">   842230</v>
      </c>
      <c r="B8145" t="str">
        <f>T("   Machines et appareils à remplir, fermer, boucher ou étiqueter les bouteilles, boîtes, sacs ou autres contenants; machines et appareils à capsuler les bouteilles, pots, tubes et contenants analogues; appareils à gazéifier les boissons")</f>
        <v xml:space="preserve">   Machines et appareils à remplir, fermer, boucher ou étiqueter les bouteilles, boîtes, sacs ou autres contenants; machines et appareils à capsuler les bouteilles, pots, tubes et contenants analogues; appareils à gazéifier les boissons</v>
      </c>
      <c r="C8145">
        <v>3500000</v>
      </c>
      <c r="D8145">
        <v>1400</v>
      </c>
    </row>
    <row r="8146" spans="1:4" x14ac:dyDescent="0.25">
      <c r="A8146" t="str">
        <f>T("   842240")</f>
        <v xml:space="preserve">   842240</v>
      </c>
      <c r="B8146" t="s">
        <v>402</v>
      </c>
      <c r="C8146">
        <v>1500000</v>
      </c>
      <c r="D8146">
        <v>950</v>
      </c>
    </row>
    <row r="8147" spans="1:4" x14ac:dyDescent="0.25">
      <c r="A8147" t="str">
        <f>T("   842410")</f>
        <v xml:space="preserve">   842410</v>
      </c>
      <c r="B8147" t="str">
        <f>T("   Extincteurs mécaniques, même chargés (sauf bombes et grenades d'extinction d'incendie)")</f>
        <v xml:space="preserve">   Extincteurs mécaniques, même chargés (sauf bombes et grenades d'extinction d'incendie)</v>
      </c>
      <c r="C8147">
        <v>380000</v>
      </c>
      <c r="D8147">
        <v>430</v>
      </c>
    </row>
    <row r="8148" spans="1:4" x14ac:dyDescent="0.25">
      <c r="A8148" t="str">
        <f>T("   842490")</f>
        <v xml:space="preserve">   842490</v>
      </c>
      <c r="B8148" t="s">
        <v>406</v>
      </c>
      <c r="C8148">
        <v>432000</v>
      </c>
      <c r="D8148">
        <v>500</v>
      </c>
    </row>
    <row r="8149" spans="1:4" x14ac:dyDescent="0.25">
      <c r="A8149" t="str">
        <f>T("   843069")</f>
        <v xml:space="preserve">   843069</v>
      </c>
      <c r="B8149" t="str">
        <f>T("   Machines et appareils de terrassement, nivellement, décapage, excavation, compactage, extraction ou forage de la terre, des minéraux ou des minerais, non autopropulsés, n.d.a.")</f>
        <v xml:space="preserve">   Machines et appareils de terrassement, nivellement, décapage, excavation, compactage, extraction ou forage de la terre, des minéraux ou des minerais, non autopropulsés, n.d.a.</v>
      </c>
      <c r="C8149">
        <v>212500</v>
      </c>
      <c r="D8149">
        <v>300</v>
      </c>
    </row>
    <row r="8150" spans="1:4" x14ac:dyDescent="0.25">
      <c r="A8150" t="str">
        <f>T("   843139")</f>
        <v xml:space="preserve">   843139</v>
      </c>
      <c r="B8150" t="str">
        <f>T("   Parties de machines et appareils du n° 8428, n.d.a.")</f>
        <v xml:space="preserve">   Parties de machines et appareils du n° 8428, n.d.a.</v>
      </c>
      <c r="C8150">
        <v>880000</v>
      </c>
      <c r="D8150">
        <v>1100</v>
      </c>
    </row>
    <row r="8151" spans="1:4" x14ac:dyDescent="0.25">
      <c r="A8151" t="str">
        <f>T("   843149")</f>
        <v xml:space="preserve">   843149</v>
      </c>
      <c r="B8151" t="str">
        <f>T("   Parties de machines et appareils du n° 8426, 8429 ou 8430, n.d.a.")</f>
        <v xml:space="preserve">   Parties de machines et appareils du n° 8426, 8429 ou 8430, n.d.a.</v>
      </c>
      <c r="C8151">
        <v>12777316</v>
      </c>
      <c r="D8151">
        <v>470</v>
      </c>
    </row>
    <row r="8152" spans="1:4" x14ac:dyDescent="0.25">
      <c r="A8152" t="str">
        <f>T("   843780")</f>
        <v xml:space="preserve">   843780</v>
      </c>
      <c r="B8152" t="s">
        <v>412</v>
      </c>
      <c r="C8152">
        <v>11376666</v>
      </c>
      <c r="D8152">
        <v>27080</v>
      </c>
    </row>
    <row r="8153" spans="1:4" x14ac:dyDescent="0.25">
      <c r="A8153" t="str">
        <f>T("   843790")</f>
        <v xml:space="preserve">   843790</v>
      </c>
      <c r="B8153" t="str">
        <f>T("   Parties de machines et appareils de minoterie ou pour le traitement des céréales ou légumes secs ou pour le nettoyage, le triage ou le criblage des grains ou des légumes secs, n.d.a.")</f>
        <v xml:space="preserve">   Parties de machines et appareils de minoterie ou pour le traitement des céréales ou légumes secs ou pour le nettoyage, le triage ou le criblage des grains ou des légumes secs, n.d.a.</v>
      </c>
      <c r="C8153">
        <v>43273160</v>
      </c>
      <c r="D8153">
        <v>75709</v>
      </c>
    </row>
    <row r="8154" spans="1:4" x14ac:dyDescent="0.25">
      <c r="A8154" t="str">
        <f>T("   844010")</f>
        <v xml:space="preserve">   844010</v>
      </c>
      <c r="B8154" t="s">
        <v>415</v>
      </c>
      <c r="C8154">
        <v>70000</v>
      </c>
      <c r="D8154">
        <v>100</v>
      </c>
    </row>
    <row r="8155" spans="1:4" x14ac:dyDescent="0.25">
      <c r="A8155" t="str">
        <f>T("   844390")</f>
        <v xml:space="preserve">   844390</v>
      </c>
      <c r="B8155" t="str">
        <f>T("   Parties de machines et appareils à imprimer et de leur machines et appareils auxiliaires, n.d.a.")</f>
        <v xml:space="preserve">   Parties de machines et appareils à imprimer et de leur machines et appareils auxiliaires, n.d.a.</v>
      </c>
      <c r="C8155">
        <v>100000</v>
      </c>
      <c r="D8155">
        <v>100</v>
      </c>
    </row>
    <row r="8156" spans="1:4" x14ac:dyDescent="0.25">
      <c r="A8156" t="str">
        <f>T("   845019")</f>
        <v xml:space="preserve">   845019</v>
      </c>
      <c r="B8156" t="str">
        <f>T("   Machines à laver le linge d'une capacité unitaire exprimée en poids de linge sec &lt;= 6 kg (à l'excl. des machines entièrement automatiques et des machines à laver le linge avec essoreuse centrifuge incorporée)")</f>
        <v xml:space="preserve">   Machines à laver le linge d'une capacité unitaire exprimée en poids de linge sec &lt;= 6 kg (à l'excl. des machines entièrement automatiques et des machines à laver le linge avec essoreuse centrifuge incorporée)</v>
      </c>
      <c r="C8156">
        <v>36000</v>
      </c>
      <c r="D8156">
        <v>50</v>
      </c>
    </row>
    <row r="8157" spans="1:4" x14ac:dyDescent="0.25">
      <c r="A8157" t="str">
        <f>T("   845210")</f>
        <v xml:space="preserve">   845210</v>
      </c>
      <c r="B8157" t="str">
        <f>T("   Machines à coudre de type ménager")</f>
        <v xml:space="preserve">   Machines à coudre de type ménager</v>
      </c>
      <c r="C8157">
        <v>338000</v>
      </c>
      <c r="D8157">
        <v>450</v>
      </c>
    </row>
    <row r="8158" spans="1:4" x14ac:dyDescent="0.25">
      <c r="A8158" t="str">
        <f>T("   845910")</f>
        <v xml:space="preserve">   845910</v>
      </c>
      <c r="B8158" t="str">
        <f>T("   Unités d'usinage à glissières, à percer, aléser, fraiser, fileter ou tarauder les métaux par enlèvement de matière")</f>
        <v xml:space="preserve">   Unités d'usinage à glissières, à percer, aléser, fraiser, fileter ou tarauder les métaux par enlèvement de matière</v>
      </c>
      <c r="C8158">
        <v>194400</v>
      </c>
      <c r="D8158">
        <v>100</v>
      </c>
    </row>
    <row r="8159" spans="1:4" x14ac:dyDescent="0.25">
      <c r="A8159" t="str">
        <f>T("   846039")</f>
        <v xml:space="preserve">   846039</v>
      </c>
      <c r="B8159" t="str">
        <f>T("   MACHINES À AFF¹TER, POUR LE TRAVAIL DES MÉTAUX (AUTRES QU'À COMMANDE NUMÉRIQUE)")</f>
        <v xml:space="preserve">   MACHINES À AFF¹TER, POUR LE TRAVAIL DES MÉTAUX (AUTRES QU'À COMMANDE NUMÉRIQUE)</v>
      </c>
      <c r="C8159">
        <v>134400</v>
      </c>
      <c r="D8159">
        <v>100</v>
      </c>
    </row>
    <row r="8160" spans="1:4" x14ac:dyDescent="0.25">
      <c r="A8160" t="str">
        <f>T("   846190")</f>
        <v xml:space="preserve">   846190</v>
      </c>
      <c r="B8160" t="str">
        <f>T("   Machines à raboter et autres machines-outils travaillant par enlèvement de métal, n.d.a.")</f>
        <v xml:space="preserve">   Machines à raboter et autres machines-outils travaillant par enlèvement de métal, n.d.a.</v>
      </c>
      <c r="C8160">
        <v>600000</v>
      </c>
      <c r="D8160">
        <v>300</v>
      </c>
    </row>
    <row r="8161" spans="1:4" x14ac:dyDescent="0.25">
      <c r="A8161" t="str">
        <f>T("   846490")</f>
        <v xml:space="preserve">   846490</v>
      </c>
      <c r="B8161" t="s">
        <v>427</v>
      </c>
      <c r="C8161">
        <v>100000</v>
      </c>
      <c r="D8161">
        <v>100</v>
      </c>
    </row>
    <row r="8162" spans="1:4" x14ac:dyDescent="0.25">
      <c r="A8162" t="str">
        <f>T("   847090")</f>
        <v xml:space="preserve">   847090</v>
      </c>
      <c r="B8162" t="str">
        <f>T("   Machines à affranchir, à établir les tickets et simil., avec dispositif de calcul (à l'excl. des machines comptables, des caisses enregistreuses et des distributeurs automatiques)")</f>
        <v xml:space="preserve">   Machines à affranchir, à établir les tickets et simil., avec dispositif de calcul (à l'excl. des machines comptables, des caisses enregistreuses et des distributeurs automatiques)</v>
      </c>
      <c r="C8162">
        <v>345000</v>
      </c>
      <c r="D8162">
        <v>500</v>
      </c>
    </row>
    <row r="8163" spans="1:4" x14ac:dyDescent="0.25">
      <c r="A8163" t="str">
        <f>T("   847110")</f>
        <v xml:space="preserve">   847110</v>
      </c>
      <c r="B8163" t="str">
        <f>T("   Machines automatiques de traitement de l'information, analogiques ou hybrides")</f>
        <v xml:space="preserve">   Machines automatiques de traitement de l'information, analogiques ou hybrides</v>
      </c>
      <c r="C8163">
        <v>16451000</v>
      </c>
      <c r="D8163">
        <v>3186</v>
      </c>
    </row>
    <row r="8164" spans="1:4" x14ac:dyDescent="0.25">
      <c r="A8164" t="str">
        <f>T("   847149")</f>
        <v xml:space="preserve">   847149</v>
      </c>
      <c r="B8164" t="s">
        <v>434</v>
      </c>
      <c r="C8164">
        <v>61988000</v>
      </c>
      <c r="D8164">
        <v>28875</v>
      </c>
    </row>
    <row r="8165" spans="1:4" x14ac:dyDescent="0.25">
      <c r="A8165" t="str">
        <f>T("   847190")</f>
        <v xml:space="preserve">   847190</v>
      </c>
      <c r="B8165"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8165">
        <v>33084000</v>
      </c>
      <c r="D8165">
        <v>37800</v>
      </c>
    </row>
    <row r="8166" spans="1:4" x14ac:dyDescent="0.25">
      <c r="A8166" t="str">
        <f>T("   847290")</f>
        <v xml:space="preserve">   847290</v>
      </c>
      <c r="B8166" t="str">
        <f>T("   Machines et appareils de bureau, n.d.a.")</f>
        <v xml:space="preserve">   Machines et appareils de bureau, n.d.a.</v>
      </c>
      <c r="C8166">
        <v>11361022</v>
      </c>
      <c r="D8166">
        <v>1250</v>
      </c>
    </row>
    <row r="8167" spans="1:4" x14ac:dyDescent="0.25">
      <c r="A8167" t="str">
        <f>T("   847420")</f>
        <v xml:space="preserve">   847420</v>
      </c>
      <c r="B8167" t="str">
        <f>T("   Machines et appareils à concasser, broyer ou pulvériser les matières minérales solides")</f>
        <v xml:space="preserve">   Machines et appareils à concasser, broyer ou pulvériser les matières minérales solides</v>
      </c>
      <c r="C8167">
        <v>1648000</v>
      </c>
      <c r="D8167">
        <v>1320</v>
      </c>
    </row>
    <row r="8168" spans="1:4" x14ac:dyDescent="0.25">
      <c r="A8168" t="str">
        <f>T("   847431")</f>
        <v xml:space="preserve">   847431</v>
      </c>
      <c r="B8168" t="str">
        <f>T("   Bétonnières et appareils à gâcher le ciment (sauf montés sur wagons de chemins de fer ou sur châssis de véhicules automobiles)")</f>
        <v xml:space="preserve">   Bétonnières et appareils à gâcher le ciment (sauf montés sur wagons de chemins de fer ou sur châssis de véhicules automobiles)</v>
      </c>
      <c r="C8168">
        <v>1500000</v>
      </c>
      <c r="D8168">
        <v>500</v>
      </c>
    </row>
    <row r="8169" spans="1:4" x14ac:dyDescent="0.25">
      <c r="A8169" t="str">
        <f>T("   847480")</f>
        <v xml:space="preserve">   847480</v>
      </c>
      <c r="B8169" t="s">
        <v>437</v>
      </c>
      <c r="C8169">
        <v>100000</v>
      </c>
      <c r="D8169">
        <v>40</v>
      </c>
    </row>
    <row r="8170" spans="1:4" x14ac:dyDescent="0.25">
      <c r="A8170" t="str">
        <f>T("   847780")</f>
        <v xml:space="preserve">   847780</v>
      </c>
      <c r="B8170" t="str">
        <f>T("   MACHINES ET APPAREILS POUR LE TRAVAIL DU CAOUTCHOUC OU DES MATIÈRES PLASTIQUES OU POUR LA FABRICATION DE PRODUITS EN CES MATIÈRES N.D.A. DANS LE CHAPITRE 84")</f>
        <v xml:space="preserve">   MACHINES ET APPAREILS POUR LE TRAVAIL DU CAOUTCHOUC OU DES MATIÈRES PLASTIQUES OU POUR LA FABRICATION DE PRODUITS EN CES MATIÈRES N.D.A. DANS LE CHAPITRE 84</v>
      </c>
      <c r="C8170">
        <v>76000</v>
      </c>
      <c r="D8170">
        <v>100</v>
      </c>
    </row>
    <row r="8171" spans="1:4" x14ac:dyDescent="0.25">
      <c r="A8171" t="str">
        <f>T("   847790")</f>
        <v xml:space="preserve">   847790</v>
      </c>
      <c r="B8171" t="str">
        <f>T("   Parties des machines et appareils pour le travail du caoutchouc ou des matières plastiques ou pour la fabrication de produits en ces matières, n.d.a.")</f>
        <v xml:space="preserve">   Parties des machines et appareils pour le travail du caoutchouc ou des matières plastiques ou pour la fabrication de produits en ces matières, n.d.a.</v>
      </c>
      <c r="C8171">
        <v>1900380</v>
      </c>
      <c r="D8171">
        <v>2500</v>
      </c>
    </row>
    <row r="8172" spans="1:4" x14ac:dyDescent="0.25">
      <c r="A8172" t="str">
        <f>T("   847910")</f>
        <v xml:space="preserve">   847910</v>
      </c>
      <c r="B8172" t="str">
        <f>T("   Machines et appareils pour les travaux publics, le bâtiment ou les travaux analogues, n.d.a.")</f>
        <v xml:space="preserve">   Machines et appareils pour les travaux publics, le bâtiment ou les travaux analogues, n.d.a.</v>
      </c>
      <c r="C8172">
        <v>160000</v>
      </c>
      <c r="D8172">
        <v>100</v>
      </c>
    </row>
    <row r="8173" spans="1:4" x14ac:dyDescent="0.25">
      <c r="A8173" t="str">
        <f>T("   847989")</f>
        <v xml:space="preserve">   847989</v>
      </c>
      <c r="B8173" t="str">
        <f>T("   Machines et appareils, y.c. les appareils mécaniques, n.d.a.")</f>
        <v xml:space="preserve">   Machines et appareils, y.c. les appareils mécaniques, n.d.a.</v>
      </c>
      <c r="C8173">
        <v>1467720</v>
      </c>
      <c r="D8173">
        <v>850</v>
      </c>
    </row>
    <row r="8174" spans="1:4" x14ac:dyDescent="0.25">
      <c r="A8174" t="str">
        <f>T("   848041")</f>
        <v xml:space="preserve">   848041</v>
      </c>
      <c r="B8174" t="str">
        <f>T("   Moules pour les métaux ou les carbures métalliques, pour le moulage par injection ou par compression (autres qu'en graphite ou autres formes de carbone, autres qu'en produits céramiques ou en verre)")</f>
        <v xml:space="preserve">   Moules pour les métaux ou les carbures métalliques, pour le moulage par injection ou par compression (autres qu'en graphite ou autres formes de carbone, autres qu'en produits céramiques ou en verre)</v>
      </c>
      <c r="C8174">
        <v>45000</v>
      </c>
      <c r="D8174">
        <v>100</v>
      </c>
    </row>
    <row r="8175" spans="1:4" x14ac:dyDescent="0.25">
      <c r="A8175" t="str">
        <f>T("   848049")</f>
        <v xml:space="preserve">   848049</v>
      </c>
      <c r="B8175" t="s">
        <v>440</v>
      </c>
      <c r="C8175">
        <v>90000</v>
      </c>
      <c r="D8175">
        <v>100</v>
      </c>
    </row>
    <row r="8176" spans="1:4" x14ac:dyDescent="0.25">
      <c r="A8176" t="str">
        <f>T("   848180")</f>
        <v xml:space="preserve">   848180</v>
      </c>
      <c r="B8176" t="str">
        <f>T("   Articles de robinetterie et organes simil. pour tuyauteries, etc. (à l'excl. des détendeurs, valves pour transmissions oléohydrauliques ou pneumatiques, clapets et soupapes de retenue et sauf soupapes de trop-plein ou de sûreté)")</f>
        <v xml:space="preserve">   Articles de robinetterie et organes simil. pour tuyauteries, etc. (à l'excl. des détendeurs, valves pour transmissions oléohydrauliques ou pneumatiques, clapets et soupapes de retenue et sauf soupapes de trop-plein ou de sûreté)</v>
      </c>
      <c r="C8176">
        <v>3419142</v>
      </c>
      <c r="D8176">
        <v>4288</v>
      </c>
    </row>
    <row r="8177" spans="1:4" x14ac:dyDescent="0.25">
      <c r="A8177" t="str">
        <f>T("   850153")</f>
        <v xml:space="preserve">   850153</v>
      </c>
      <c r="B8177" t="str">
        <f>T("   Moteurs à courant alternatif, polyphasés, puissance &gt; 75 kW")</f>
        <v xml:space="preserve">   Moteurs à courant alternatif, polyphasés, puissance &gt; 75 kW</v>
      </c>
      <c r="C8177">
        <v>1059840</v>
      </c>
      <c r="D8177">
        <v>100</v>
      </c>
    </row>
    <row r="8178" spans="1:4" x14ac:dyDescent="0.25">
      <c r="A8178" t="str">
        <f>T("   850161")</f>
        <v xml:space="preserve">   850161</v>
      </c>
      <c r="B8178" t="str">
        <f>T("   Alternateurs, puissance &lt;= 75 kVA")</f>
        <v xml:space="preserve">   Alternateurs, puissance &lt;= 75 kVA</v>
      </c>
      <c r="C8178">
        <v>4775746</v>
      </c>
      <c r="D8178">
        <v>2900</v>
      </c>
    </row>
    <row r="8179" spans="1:4" x14ac:dyDescent="0.25">
      <c r="A8179" t="str">
        <f>T("   850211")</f>
        <v xml:space="preserve">   850211</v>
      </c>
      <c r="B8179" t="s">
        <v>444</v>
      </c>
      <c r="C8179">
        <v>5500080</v>
      </c>
      <c r="D8179">
        <v>4550</v>
      </c>
    </row>
    <row r="8180" spans="1:4" x14ac:dyDescent="0.25">
      <c r="A8180" t="str">
        <f>T("   850220")</f>
        <v xml:space="preserve">   850220</v>
      </c>
      <c r="B8180" t="s">
        <v>446</v>
      </c>
      <c r="C8180">
        <v>360820100</v>
      </c>
      <c r="D8180">
        <v>457250</v>
      </c>
    </row>
    <row r="8181" spans="1:4" x14ac:dyDescent="0.25">
      <c r="A8181" t="str">
        <f>T("   850239")</f>
        <v xml:space="preserve">   850239</v>
      </c>
      <c r="B8181" t="str">
        <f>T("   Groupes électrogènes (autres qu'à énergie éolienne et à moteurs à piston)")</f>
        <v xml:space="preserve">   Groupes électrogènes (autres qu'à énergie éolienne et à moteurs à piston)</v>
      </c>
      <c r="C8181">
        <v>58708800</v>
      </c>
      <c r="D8181">
        <v>10300</v>
      </c>
    </row>
    <row r="8182" spans="1:4" x14ac:dyDescent="0.25">
      <c r="A8182" t="str">
        <f>T("   850431")</f>
        <v xml:space="preserve">   850431</v>
      </c>
      <c r="B8182" t="str">
        <f>T("   Transformateurs à sec, puissance &lt;= 1 kVA")</f>
        <v xml:space="preserve">   Transformateurs à sec, puissance &lt;= 1 kVA</v>
      </c>
      <c r="C8182">
        <v>40015250</v>
      </c>
      <c r="D8182">
        <v>140345</v>
      </c>
    </row>
    <row r="8183" spans="1:4" x14ac:dyDescent="0.25">
      <c r="A8183" t="str">
        <f>T("   850432")</f>
        <v xml:space="preserve">   850432</v>
      </c>
      <c r="B8183" t="str">
        <f>T("   Transformateurs à sec, puissance &gt; 1 kVA mais &lt;= 16 kVA")</f>
        <v xml:space="preserve">   Transformateurs à sec, puissance &gt; 1 kVA mais &lt;= 16 kVA</v>
      </c>
      <c r="C8183">
        <v>650000</v>
      </c>
      <c r="D8183">
        <v>1350</v>
      </c>
    </row>
    <row r="8184" spans="1:4" x14ac:dyDescent="0.25">
      <c r="A8184" t="str">
        <f>T("   850440")</f>
        <v xml:space="preserve">   850440</v>
      </c>
      <c r="B8184" t="str">
        <f>T("   CONVERTISSEURS STATIQUES")</f>
        <v xml:space="preserve">   CONVERTISSEURS STATIQUES</v>
      </c>
      <c r="C8184">
        <v>6139326</v>
      </c>
      <c r="D8184">
        <v>1500</v>
      </c>
    </row>
    <row r="8185" spans="1:4" x14ac:dyDescent="0.25">
      <c r="A8185" t="str">
        <f>T("   850519")</f>
        <v xml:space="preserve">   850519</v>
      </c>
      <c r="B8185" t="str">
        <f>T("   Aimants permanents et articles destinés à devenir des aimants permanents après aimantation, autres qu'en métal")</f>
        <v xml:space="preserve">   Aimants permanents et articles destinés à devenir des aimants permanents après aimantation, autres qu'en métal</v>
      </c>
      <c r="C8185">
        <v>102500</v>
      </c>
      <c r="D8185">
        <v>500</v>
      </c>
    </row>
    <row r="8186" spans="1:4" x14ac:dyDescent="0.25">
      <c r="A8186" t="str">
        <f>T("   850690")</f>
        <v xml:space="preserve">   850690</v>
      </c>
      <c r="B8186" t="str">
        <f>T("   Parties de piles et batteries de piles électriques n.d.a.")</f>
        <v xml:space="preserve">   Parties de piles et batteries de piles électriques n.d.a.</v>
      </c>
      <c r="C8186">
        <v>4881600</v>
      </c>
      <c r="D8186">
        <v>8136</v>
      </c>
    </row>
    <row r="8187" spans="1:4" x14ac:dyDescent="0.25">
      <c r="A8187" t="str">
        <f>T("   850710")</f>
        <v xml:space="preserve">   850710</v>
      </c>
      <c r="B8187" t="str">
        <f>T("   Accumulateurs au plomb, pour le démarrage des moteurs à piston (sauf hors d'usage)")</f>
        <v xml:space="preserve">   Accumulateurs au plomb, pour le démarrage des moteurs à piston (sauf hors d'usage)</v>
      </c>
      <c r="C8187">
        <v>49052350</v>
      </c>
      <c r="D8187">
        <v>76000</v>
      </c>
    </row>
    <row r="8188" spans="1:4" x14ac:dyDescent="0.25">
      <c r="A8188" t="str">
        <f>T("   850780")</f>
        <v xml:space="preserve">   850780</v>
      </c>
      <c r="B8188" t="str">
        <f>T("   Accumulateurs électriques (sauf hors d'usage et autres qu'au plomb, au nickel-cadmium ou au nickel-fer)")</f>
        <v xml:space="preserve">   Accumulateurs électriques (sauf hors d'usage et autres qu'au plomb, au nickel-cadmium ou au nickel-fer)</v>
      </c>
      <c r="C8188">
        <v>994500</v>
      </c>
      <c r="D8188">
        <v>4010</v>
      </c>
    </row>
    <row r="8189" spans="1:4" x14ac:dyDescent="0.25">
      <c r="A8189" t="str">
        <f>T("   851210")</f>
        <v xml:space="preserve">   851210</v>
      </c>
      <c r="B8189" t="s">
        <v>449</v>
      </c>
      <c r="C8189">
        <v>343000</v>
      </c>
      <c r="D8189">
        <v>300</v>
      </c>
    </row>
    <row r="8190" spans="1:4" x14ac:dyDescent="0.25">
      <c r="A8190" t="str">
        <f>T("   851220")</f>
        <v xml:space="preserve">   851220</v>
      </c>
      <c r="B8190" t="str">
        <f>T("   Appareils électriques d'éclairage ou de signalisation visuelle, pour automobiles (à l'excl. des lampes du n° 8539)")</f>
        <v xml:space="preserve">   Appareils électriques d'éclairage ou de signalisation visuelle, pour automobiles (à l'excl. des lampes du n° 8539)</v>
      </c>
      <c r="C8190">
        <v>1141000</v>
      </c>
      <c r="D8190">
        <v>850</v>
      </c>
    </row>
    <row r="8191" spans="1:4" x14ac:dyDescent="0.25">
      <c r="A8191" t="str">
        <f>T("   851310")</f>
        <v xml:space="preserve">   851310</v>
      </c>
      <c r="B8191" t="str">
        <f>T("   Lampes électriques portatives, destinées à fonctionner au moyen de leur propre source d'énergie")</f>
        <v xml:space="preserve">   Lampes électriques portatives, destinées à fonctionner au moyen de leur propre source d'énergie</v>
      </c>
      <c r="C8191">
        <v>51500</v>
      </c>
      <c r="D8191">
        <v>64</v>
      </c>
    </row>
    <row r="8192" spans="1:4" x14ac:dyDescent="0.25">
      <c r="A8192" t="str">
        <f>T("   851539")</f>
        <v xml:space="preserve">   851539</v>
      </c>
      <c r="B8192" t="str">
        <f>T("   MACHINES ET APPAREILS POUR LE SOUDAGE DES MÉTAUX À L'ARC OU AU JET DE PLASMA, NON-AUTOMATIQUES")</f>
        <v xml:space="preserve">   MACHINES ET APPAREILS POUR LE SOUDAGE DES MÉTAUX À L'ARC OU AU JET DE PLASMA, NON-AUTOMATIQUES</v>
      </c>
      <c r="C8192">
        <v>256000</v>
      </c>
      <c r="D8192">
        <v>150</v>
      </c>
    </row>
    <row r="8193" spans="1:4" x14ac:dyDescent="0.25">
      <c r="A8193" t="str">
        <f>T("   851631")</f>
        <v xml:space="preserve">   851631</v>
      </c>
      <c r="B8193" t="str">
        <f>T("   Sèche-cheveux électriques")</f>
        <v xml:space="preserve">   Sèche-cheveux électriques</v>
      </c>
      <c r="C8193">
        <v>20000</v>
      </c>
      <c r="D8193">
        <v>20</v>
      </c>
    </row>
    <row r="8194" spans="1:4" x14ac:dyDescent="0.25">
      <c r="A8194" t="str">
        <f>T("   851650")</f>
        <v xml:space="preserve">   851650</v>
      </c>
      <c r="B8194" t="str">
        <f>T("   Fours à micro-ondes")</f>
        <v xml:space="preserve">   Fours à micro-ondes</v>
      </c>
      <c r="C8194">
        <v>40000</v>
      </c>
      <c r="D8194">
        <v>50</v>
      </c>
    </row>
    <row r="8195" spans="1:4" x14ac:dyDescent="0.25">
      <c r="A8195" t="str">
        <f>T("   851660")</f>
        <v xml:space="preserve">   851660</v>
      </c>
      <c r="B8195" t="str">
        <f>T("   Fours, cuisinières, réchauds, tables de cuisson, grils et rôtissoires électriques, pour usages domestiques (sauf fours destinés au chauffage des locaux et fours à micro-ondes)")</f>
        <v xml:space="preserve">   Fours, cuisinières, réchauds, tables de cuisson, grils et rôtissoires électriques, pour usages domestiques (sauf fours destinés au chauffage des locaux et fours à micro-ondes)</v>
      </c>
      <c r="C8195">
        <v>256538</v>
      </c>
      <c r="D8195">
        <v>300</v>
      </c>
    </row>
    <row r="8196" spans="1:4" x14ac:dyDescent="0.25">
      <c r="A8196" t="str">
        <f>T("   851690")</f>
        <v xml:space="preserve">   851690</v>
      </c>
      <c r="B8196" t="str">
        <f>T("   Parties des chauffe-eau, appareils de chauffage des locaux, appareils électriques pour la coiffure ou pour sécher les mains, appareils électrothermiques pour usages domestiques et résistances chauffantes, n.d.a.")</f>
        <v xml:space="preserve">   Parties des chauffe-eau, appareils de chauffage des locaux, appareils électriques pour la coiffure ou pour sécher les mains, appareils électrothermiques pour usages domestiques et résistances chauffantes, n.d.a.</v>
      </c>
      <c r="C8196">
        <v>47740292</v>
      </c>
      <c r="D8196">
        <v>7200</v>
      </c>
    </row>
    <row r="8197" spans="1:4" x14ac:dyDescent="0.25">
      <c r="A8197" t="str">
        <f>T("   851711")</f>
        <v xml:space="preserve">   851711</v>
      </c>
      <c r="B8197" t="str">
        <f>T("   Postes téléphoniques d'usagers pour la téléphonie par fil à combinés sans fil")</f>
        <v xml:space="preserve">   Postes téléphoniques d'usagers pour la téléphonie par fil à combinés sans fil</v>
      </c>
      <c r="C8197">
        <v>18792000</v>
      </c>
      <c r="D8197">
        <v>42000</v>
      </c>
    </row>
    <row r="8198" spans="1:4" x14ac:dyDescent="0.25">
      <c r="A8198" t="str">
        <f>T("   851750")</f>
        <v xml:space="preserve">   851750</v>
      </c>
      <c r="B8198" t="s">
        <v>452</v>
      </c>
      <c r="C8198">
        <v>45000</v>
      </c>
      <c r="D8198">
        <v>50</v>
      </c>
    </row>
    <row r="8199" spans="1:4" x14ac:dyDescent="0.25">
      <c r="A8199" t="str">
        <f>T("   851781")</f>
        <v xml:space="preserve">   851781</v>
      </c>
      <c r="B8199" t="str">
        <f>T("   APPAREILS ÉLECTRIQUES POUR LA TELEPHONIE PAR FIL (AUTRES QUE POSTES TELEPHONIQUES D'USAGERS, APPAREILS DE COMMUTATION ET EMETTEUR-RÉCEPTEUR POUR LA TELECOMMUNICATION PAR COURANT PORTEUR)")</f>
        <v xml:space="preserve">   APPAREILS ÉLECTRIQUES POUR LA TELEPHONIE PAR FIL (AUTRES QUE POSTES TELEPHONIQUES D'USAGERS, APPAREILS DE COMMUTATION ET EMETTEUR-RÉCEPTEUR POUR LA TELECOMMUNICATION PAR COURANT PORTEUR)</v>
      </c>
      <c r="C8199">
        <v>177600</v>
      </c>
      <c r="D8199">
        <v>100</v>
      </c>
    </row>
    <row r="8200" spans="1:4" x14ac:dyDescent="0.25">
      <c r="A8200" t="str">
        <f>T("   851821")</f>
        <v xml:space="preserve">   851821</v>
      </c>
      <c r="B8200" t="str">
        <f>T("   Haut-parleur unique monté dans son enceinte")</f>
        <v xml:space="preserve">   Haut-parleur unique monté dans son enceinte</v>
      </c>
      <c r="C8200">
        <v>220000</v>
      </c>
      <c r="D8200">
        <v>400</v>
      </c>
    </row>
    <row r="8201" spans="1:4" x14ac:dyDescent="0.25">
      <c r="A8201" t="str">
        <f>T("   851822")</f>
        <v xml:space="preserve">   851822</v>
      </c>
      <c r="B8201" t="str">
        <f>T("   Haut-parleurs multiples montés dans la même enceinte")</f>
        <v xml:space="preserve">   Haut-parleurs multiples montés dans la même enceinte</v>
      </c>
      <c r="C8201">
        <v>494800</v>
      </c>
      <c r="D8201">
        <v>1050</v>
      </c>
    </row>
    <row r="8202" spans="1:4" x14ac:dyDescent="0.25">
      <c r="A8202" t="str">
        <f>T("   851840")</f>
        <v xml:space="preserve">   851840</v>
      </c>
      <c r="B8202" t="str">
        <f>T("   Amplificateurs électriques d'audiofréquence")</f>
        <v xml:space="preserve">   Amplificateurs électriques d'audiofréquence</v>
      </c>
      <c r="C8202">
        <v>670000</v>
      </c>
      <c r="D8202">
        <v>1050</v>
      </c>
    </row>
    <row r="8203" spans="1:4" x14ac:dyDescent="0.25">
      <c r="A8203" t="str">
        <f>T("   851850")</f>
        <v xml:space="preserve">   851850</v>
      </c>
      <c r="B8203" t="str">
        <f>T("   Appareils électriques d'amplification du son")</f>
        <v xml:space="preserve">   Appareils électriques d'amplification du son</v>
      </c>
      <c r="C8203">
        <v>260000</v>
      </c>
      <c r="D8203">
        <v>250</v>
      </c>
    </row>
    <row r="8204" spans="1:4" x14ac:dyDescent="0.25">
      <c r="A8204" t="str">
        <f>T("   851890")</f>
        <v xml:space="preserve">   851890</v>
      </c>
      <c r="B8204" t="str">
        <f>T("   Parties de microphones, haut-parleurs, casques d'écoute et écouteurs électro-acoustiques, amplificateurs électriques d'audiofréquence ou appareils électriques d'amplification du son, n.d.a.")</f>
        <v xml:space="preserve">   Parties de microphones, haut-parleurs, casques d'écoute et écouteurs électro-acoustiques, amplificateurs électriques d'audiofréquence ou appareils électriques d'amplification du son, n.d.a.</v>
      </c>
      <c r="C8204">
        <v>414050</v>
      </c>
      <c r="D8204">
        <v>640</v>
      </c>
    </row>
    <row r="8205" spans="1:4" x14ac:dyDescent="0.25">
      <c r="A8205" t="str">
        <f>T("   852190")</f>
        <v xml:space="preserve">   852190</v>
      </c>
      <c r="B8205" t="s">
        <v>458</v>
      </c>
      <c r="C8205">
        <v>524880</v>
      </c>
      <c r="D8205">
        <v>500</v>
      </c>
    </row>
    <row r="8206" spans="1:4" x14ac:dyDescent="0.25">
      <c r="A8206" t="str">
        <f>T("   852290")</f>
        <v xml:space="preserve">   852290</v>
      </c>
      <c r="B8206" t="s">
        <v>459</v>
      </c>
      <c r="C8206">
        <v>5528000</v>
      </c>
      <c r="D8206">
        <v>7600</v>
      </c>
    </row>
    <row r="8207" spans="1:4" x14ac:dyDescent="0.25">
      <c r="A8207" t="str">
        <f>T("   852432")</f>
        <v xml:space="preserve">   852432</v>
      </c>
      <c r="B8207" t="str">
        <f>T("   Disques enregistrés pour systèmes de lecture optique par faisceau laser, pour la reproduction du son uniquement")</f>
        <v xml:space="preserve">   Disques enregistrés pour systèmes de lecture optique par faisceau laser, pour la reproduction du son uniquement</v>
      </c>
      <c r="C8207">
        <v>114000</v>
      </c>
      <c r="D8207">
        <v>228</v>
      </c>
    </row>
    <row r="8208" spans="1:4" x14ac:dyDescent="0.25">
      <c r="A8208" t="str">
        <f>T("   852460")</f>
        <v xml:space="preserve">   852460</v>
      </c>
      <c r="B8208" t="str">
        <f>T("   Cartes munies d'une piste magnétique enregistrée")</f>
        <v xml:space="preserve">   Cartes munies d'une piste magnétique enregistrée</v>
      </c>
      <c r="C8208">
        <v>129807</v>
      </c>
      <c r="D8208">
        <v>4</v>
      </c>
    </row>
    <row r="8209" spans="1:4" x14ac:dyDescent="0.25">
      <c r="A8209" t="str">
        <f>T("   852520")</f>
        <v xml:space="preserve">   852520</v>
      </c>
      <c r="B8209" t="str">
        <f>T("   Appareils d'émission incorporant un appareil de réception, pour la radiotéléphonie, la radiotélégraphie, la radiodiffusion ou la télévision")</f>
        <v xml:space="preserve">   Appareils d'émission incorporant un appareil de réception, pour la radiotéléphonie, la radiotélégraphie, la radiodiffusion ou la télévision</v>
      </c>
      <c r="C8209">
        <v>4216500</v>
      </c>
      <c r="D8209">
        <v>1680</v>
      </c>
    </row>
    <row r="8210" spans="1:4" x14ac:dyDescent="0.25">
      <c r="A8210" t="str">
        <f>T("   852530")</f>
        <v xml:space="preserve">   852530</v>
      </c>
      <c r="B8210" t="str">
        <f>T("   Caméras de télévision (à l'excl. de caméscopes)")</f>
        <v xml:space="preserve">   Caméras de télévision (à l'excl. de caméscopes)</v>
      </c>
      <c r="C8210">
        <v>1289685</v>
      </c>
      <c r="D8210">
        <v>1</v>
      </c>
    </row>
    <row r="8211" spans="1:4" x14ac:dyDescent="0.25">
      <c r="A8211" t="str">
        <f>T("   852713")</f>
        <v xml:space="preserve">   852713</v>
      </c>
      <c r="B8211" t="str">
        <f>T("   RÉCEPTEURS DE RADIODIFFUSION POUVANT FONCTIONNER SANS SOURCE D'ÉNERGIE EXTÉRIEURE, COMBINÉS À UN APPAREIL D'ENREGISTREMENT OU DE REPRODUCTION DU SON (À L'EXCL. DES RADIOCASSETTES DE POCHE)")</f>
        <v xml:space="preserve">   RÉCEPTEURS DE RADIODIFFUSION POUVANT FONCTIONNER SANS SOURCE D'ÉNERGIE EXTÉRIEURE, COMBINÉS À UN APPAREIL D'ENREGISTREMENT OU DE REPRODUCTION DU SON (À L'EXCL. DES RADIOCASSETTES DE POCHE)</v>
      </c>
      <c r="C8211">
        <v>203000</v>
      </c>
      <c r="D8211">
        <v>140</v>
      </c>
    </row>
    <row r="8212" spans="1:4" x14ac:dyDescent="0.25">
      <c r="A8212" t="str">
        <f>T("   852719")</f>
        <v xml:space="preserve">   852719</v>
      </c>
      <c r="B8212" t="str">
        <f>T("   Récepteurs de radiodiffusion pouvant fonctionner sans source d'énergie extérieure, y.c. les appareils recevant également la radiotéléphonie ou la radiotélégraphie, non combinés à un appareil d'enregistrement et de reproduction du son")</f>
        <v xml:space="preserve">   Récepteurs de radiodiffusion pouvant fonctionner sans source d'énergie extérieure, y.c. les appareils recevant également la radiotéléphonie ou la radiotélégraphie, non combinés à un appareil d'enregistrement et de reproduction du son</v>
      </c>
      <c r="C8212">
        <v>6466718</v>
      </c>
      <c r="D8212">
        <v>13620</v>
      </c>
    </row>
    <row r="8213" spans="1:4" x14ac:dyDescent="0.25">
      <c r="A8213" t="str">
        <f>T("   852812")</f>
        <v xml:space="preserve">   852812</v>
      </c>
      <c r="B8213"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8213">
        <v>119193054</v>
      </c>
      <c r="D8213">
        <v>437945</v>
      </c>
    </row>
    <row r="8214" spans="1:4" x14ac:dyDescent="0.25">
      <c r="A8214" t="str">
        <f>T("   852813")</f>
        <v xml:space="preserve">   852813</v>
      </c>
      <c r="B8214" t="str">
        <f>T("   Appareils récepteurs pour la télévision en noir et blanc ou en autres monochromes, même incorporant un appareil récepteur de radiodiffusion ou un appareil d'enregistrement ou de reproduction du son ou des images")</f>
        <v xml:space="preserve">   Appareils récepteurs pour la télévision en noir et blanc ou en autres monochromes, même incorporant un appareil récepteur de radiodiffusion ou un appareil d'enregistrement ou de reproduction du son ou des images</v>
      </c>
      <c r="C8214">
        <v>125000</v>
      </c>
      <c r="D8214">
        <v>500</v>
      </c>
    </row>
    <row r="8215" spans="1:4" x14ac:dyDescent="0.25">
      <c r="A8215" t="str">
        <f>T("   852910")</f>
        <v xml:space="preserve">   852910</v>
      </c>
      <c r="B8215" t="str">
        <f>T("   Antennes et réflecteurs d'antennes de tous types; parties reconnaissables comme étant utilisées conjointement avec ces articles, n.d.a.")</f>
        <v xml:space="preserve">   Antennes et réflecteurs d'antennes de tous types; parties reconnaissables comme étant utilisées conjointement avec ces articles, n.d.a.</v>
      </c>
      <c r="C8215">
        <v>73320437</v>
      </c>
      <c r="D8215">
        <v>36762</v>
      </c>
    </row>
    <row r="8216" spans="1:4" x14ac:dyDescent="0.25">
      <c r="A8216" t="str">
        <f>T("   852990")</f>
        <v xml:space="preserve">   852990</v>
      </c>
      <c r="B8216" t="s">
        <v>466</v>
      </c>
      <c r="C8216">
        <v>310000</v>
      </c>
      <c r="D8216">
        <v>300</v>
      </c>
    </row>
    <row r="8217" spans="1:4" x14ac:dyDescent="0.25">
      <c r="A8217" t="str">
        <f>T("   853649")</f>
        <v xml:space="preserve">   853649</v>
      </c>
      <c r="B8217" t="str">
        <f>T("   Relais, pour une tension &gt; 60 V mais &lt;= 1.000 V")</f>
        <v xml:space="preserve">   Relais, pour une tension &gt; 60 V mais &lt;= 1.000 V</v>
      </c>
      <c r="C8217">
        <v>6344800</v>
      </c>
      <c r="D8217">
        <v>9064</v>
      </c>
    </row>
    <row r="8218" spans="1:4" x14ac:dyDescent="0.25">
      <c r="A8218" t="str">
        <f>T("   853669")</f>
        <v xml:space="preserve">   853669</v>
      </c>
      <c r="B8218" t="str">
        <f>T("   Fiches et prises de courant, pour une tension &lt;= 1.000 V (sauf douilles pour lampes)")</f>
        <v xml:space="preserve">   Fiches et prises de courant, pour une tension &lt;= 1.000 V (sauf douilles pour lampes)</v>
      </c>
      <c r="C8218">
        <v>176000</v>
      </c>
      <c r="D8218">
        <v>141</v>
      </c>
    </row>
    <row r="8219" spans="1:4" x14ac:dyDescent="0.25">
      <c r="A8219" t="str">
        <f>T("   853910")</f>
        <v xml:space="preserve">   853910</v>
      </c>
      <c r="B8219" t="str">
        <f>T("   Phares et projecteurs scellés")</f>
        <v xml:space="preserve">   Phares et projecteurs scellés</v>
      </c>
      <c r="C8219">
        <v>75000</v>
      </c>
      <c r="D8219">
        <v>100</v>
      </c>
    </row>
    <row r="8220" spans="1:4" x14ac:dyDescent="0.25">
      <c r="A8220" t="str">
        <f>T("   853929")</f>
        <v xml:space="preserve">   853929</v>
      </c>
      <c r="B8220" t="str">
        <f>T("   Lampes et tubes à incandescence électriques (autres que lampes et tubes halogènes, au tungstène, lampes d'une puissance &lt;= 200 W et pour une tension &gt; 100 V, et lampes à rayons ultraviolets ou infrarouges)")</f>
        <v xml:space="preserve">   Lampes et tubes à incandescence électriques (autres que lampes et tubes halogènes, au tungstène, lampes d'une puissance &lt;= 200 W et pour une tension &gt; 100 V, et lampes à rayons ultraviolets ou infrarouges)</v>
      </c>
      <c r="C8220">
        <v>910000</v>
      </c>
      <c r="D8220">
        <v>2050</v>
      </c>
    </row>
    <row r="8221" spans="1:4" x14ac:dyDescent="0.25">
      <c r="A8221" t="str">
        <f>T("   853931")</f>
        <v xml:space="preserve">   853931</v>
      </c>
      <c r="B8221" t="str">
        <f>T("   Lampes et tubes à décharge, fluorescents, à cathode chaude")</f>
        <v xml:space="preserve">   Lampes et tubes à décharge, fluorescents, à cathode chaude</v>
      </c>
      <c r="C8221">
        <v>112716685</v>
      </c>
      <c r="D8221">
        <v>172350</v>
      </c>
    </row>
    <row r="8222" spans="1:4" x14ac:dyDescent="0.25">
      <c r="A8222" t="str">
        <f>T("   854419")</f>
        <v xml:space="preserve">   854419</v>
      </c>
      <c r="B8222" t="str">
        <f>T("   Fils pour bobinages pour l'électricité, autres qu'en cuivre, isolés")</f>
        <v xml:space="preserve">   Fils pour bobinages pour l'électricité, autres qu'en cuivre, isolés</v>
      </c>
      <c r="C8222">
        <v>87500</v>
      </c>
      <c r="D8222">
        <v>100</v>
      </c>
    </row>
    <row r="8223" spans="1:4" x14ac:dyDescent="0.25">
      <c r="A8223" t="str">
        <f>T("   854420")</f>
        <v xml:space="preserve">   854420</v>
      </c>
      <c r="B8223" t="str">
        <f>T("   Câbles coaxiaux et autres conducteurs électriques coaxiaux, isolés")</f>
        <v xml:space="preserve">   Câbles coaxiaux et autres conducteurs électriques coaxiaux, isolés</v>
      </c>
      <c r="C8223">
        <v>1405250</v>
      </c>
      <c r="D8223">
        <v>1616</v>
      </c>
    </row>
    <row r="8224" spans="1:4" x14ac:dyDescent="0.25">
      <c r="A8224" t="str">
        <f>T("   854459")</f>
        <v xml:space="preserve">   854459</v>
      </c>
      <c r="B8224" t="str">
        <f>T("   Conducteurs électriques, pour tension &gt; 80 V mais &lt;= 1.000 V, sans pièces de connexion, n.d.a.")</f>
        <v xml:space="preserve">   Conducteurs électriques, pour tension &gt; 80 V mais &lt;= 1.000 V, sans pièces de connexion, n.d.a.</v>
      </c>
      <c r="C8224">
        <v>1000000</v>
      </c>
      <c r="D8224">
        <v>7780</v>
      </c>
    </row>
    <row r="8225" spans="1:4" x14ac:dyDescent="0.25">
      <c r="A8225" t="str">
        <f>T("   854790")</f>
        <v xml:space="preserve">   854790</v>
      </c>
      <c r="B8225" t="str">
        <f>T("   Pièces isolantes, pour usages électriques (autres qu'en céramique ou en matières plastiques, et que tubes isolateurs et leurs pièces de raccordement, en métaux communs, isolés intérieurement)")</f>
        <v xml:space="preserve">   Pièces isolantes, pour usages électriques (autres qu'en céramique ou en matières plastiques, et que tubes isolateurs et leurs pièces de raccordement, en métaux communs, isolés intérieurement)</v>
      </c>
      <c r="C8225">
        <v>244469</v>
      </c>
      <c r="D8225">
        <v>2050</v>
      </c>
    </row>
    <row r="8226" spans="1:4" x14ac:dyDescent="0.25">
      <c r="A8226" t="str">
        <f>T("   870120")</f>
        <v xml:space="preserve">   870120</v>
      </c>
      <c r="B8226" t="str">
        <f>T("   Tracteurs routiers pour semi-remorques")</f>
        <v xml:space="preserve">   Tracteurs routiers pour semi-remorques</v>
      </c>
      <c r="C8226">
        <v>1200000</v>
      </c>
      <c r="D8226">
        <v>7600</v>
      </c>
    </row>
    <row r="8227" spans="1:4" x14ac:dyDescent="0.25">
      <c r="A8227" t="str">
        <f>T("   870210")</f>
        <v xml:space="preserve">   870210</v>
      </c>
      <c r="B8227" t="s">
        <v>472</v>
      </c>
      <c r="C8227">
        <v>1200000</v>
      </c>
      <c r="D8227">
        <v>1695</v>
      </c>
    </row>
    <row r="8228" spans="1:4" x14ac:dyDescent="0.25">
      <c r="A8228" t="str">
        <f>T("   870310")</f>
        <v xml:space="preserve">   870310</v>
      </c>
      <c r="B8228" t="str">
        <f>T("   Véhicules pour se déplacer sur la neige; véhicules pour le transport de personnes sur les terrains de golf, et simil.")</f>
        <v xml:space="preserve">   Véhicules pour se déplacer sur la neige; véhicules pour le transport de personnes sur les terrains de golf, et simil.</v>
      </c>
      <c r="C8228">
        <v>568030</v>
      </c>
      <c r="D8228">
        <v>300</v>
      </c>
    </row>
    <row r="8229" spans="1:4" x14ac:dyDescent="0.25">
      <c r="A8229" t="str">
        <f>T("   870322")</f>
        <v xml:space="preserve">   870322</v>
      </c>
      <c r="B8229" t="s">
        <v>475</v>
      </c>
      <c r="C8229">
        <v>62096422</v>
      </c>
      <c r="D8229">
        <v>14675</v>
      </c>
    </row>
    <row r="8230" spans="1:4" x14ac:dyDescent="0.25">
      <c r="A8230" t="str">
        <f>T("   870323")</f>
        <v xml:space="preserve">   870323</v>
      </c>
      <c r="B8230" t="s">
        <v>476</v>
      </c>
      <c r="C8230">
        <v>1200000</v>
      </c>
      <c r="D8230">
        <v>1200</v>
      </c>
    </row>
    <row r="8231" spans="1:4" x14ac:dyDescent="0.25">
      <c r="A8231" t="str">
        <f>T("   870324")</f>
        <v xml:space="preserve">   870324</v>
      </c>
      <c r="B8231" t="s">
        <v>477</v>
      </c>
      <c r="C8231">
        <v>1200000</v>
      </c>
      <c r="D8231">
        <v>1000</v>
      </c>
    </row>
    <row r="8232" spans="1:4" x14ac:dyDescent="0.25">
      <c r="A8232" t="str">
        <f>T("   870333")</f>
        <v xml:space="preserve">   870333</v>
      </c>
      <c r="B8232" t="s">
        <v>480</v>
      </c>
      <c r="C8232">
        <v>18163000</v>
      </c>
      <c r="D8232">
        <v>7450</v>
      </c>
    </row>
    <row r="8233" spans="1:4" x14ac:dyDescent="0.25">
      <c r="A8233" t="str">
        <f>T("   870421")</f>
        <v xml:space="preserve">   870421</v>
      </c>
      <c r="B8233" t="s">
        <v>481</v>
      </c>
      <c r="C8233">
        <v>3600000</v>
      </c>
      <c r="D8233">
        <v>3800</v>
      </c>
    </row>
    <row r="8234" spans="1:4" x14ac:dyDescent="0.25">
      <c r="A8234" t="str">
        <f>T("   870422")</f>
        <v xml:space="preserve">   870422</v>
      </c>
      <c r="B8234" t="s">
        <v>482</v>
      </c>
      <c r="C8234">
        <v>85406900</v>
      </c>
      <c r="D8234">
        <v>131160</v>
      </c>
    </row>
    <row r="8235" spans="1:4" x14ac:dyDescent="0.25">
      <c r="A8235" t="str">
        <f>T("   870431")</f>
        <v xml:space="preserve">   870431</v>
      </c>
      <c r="B8235" t="s">
        <v>484</v>
      </c>
      <c r="C8235">
        <v>2400000</v>
      </c>
      <c r="D8235">
        <v>1600</v>
      </c>
    </row>
    <row r="8236" spans="1:4" x14ac:dyDescent="0.25">
      <c r="A8236" t="str">
        <f>T("   870510")</f>
        <v xml:space="preserve">   870510</v>
      </c>
      <c r="B8236" t="str">
        <f>T("   Camions-grues (sauf dépanneuses)")</f>
        <v xml:space="preserve">   Camions-grues (sauf dépanneuses)</v>
      </c>
      <c r="C8236">
        <v>77654700</v>
      </c>
      <c r="D8236">
        <v>79000</v>
      </c>
    </row>
    <row r="8237" spans="1:4" x14ac:dyDescent="0.25">
      <c r="A8237" t="str">
        <f>T("   870520")</f>
        <v xml:space="preserve">   870520</v>
      </c>
      <c r="B8237" t="str">
        <f>T("   Derricks automobiles pour le sondage ou le forage")</f>
        <v xml:space="preserve">   Derricks automobiles pour le sondage ou le forage</v>
      </c>
      <c r="C8237">
        <v>62315500</v>
      </c>
      <c r="D8237">
        <v>17460</v>
      </c>
    </row>
    <row r="8238" spans="1:4" x14ac:dyDescent="0.25">
      <c r="A8238" t="str">
        <f>T("   870810")</f>
        <v xml:space="preserve">   870810</v>
      </c>
      <c r="B8238" t="str">
        <f>T("   PARE-CHOCS ET LEURS PARTIES DE TRACTEURS, VÉHICULES POUR LE TRANSPORT DE &gt;= 10 PERSONNES, CHAUFFEUR INCLUS, VOITURES DE TOURISME, VÉHICULES POUR LE TRANSPORT DE MARCHANDISES ET VÉHICULES À USAGES SPÉCIAUX DU N° 8701 À 8705, N.D.A")</f>
        <v xml:space="preserve">   PARE-CHOCS ET LEURS PARTIES DE TRACTEURS, VÉHICULES POUR LE TRANSPORT DE &gt;= 10 PERSONNES, CHAUFFEUR INCLUS, VOITURES DE TOURISME, VÉHICULES POUR LE TRANSPORT DE MARCHANDISES ET VÉHICULES À USAGES SPÉCIAUX DU N° 8701 À 8705, N.D.A</v>
      </c>
      <c r="C8238">
        <v>136000</v>
      </c>
      <c r="D8238">
        <v>85</v>
      </c>
    </row>
    <row r="8239" spans="1:4" x14ac:dyDescent="0.25">
      <c r="A8239" t="str">
        <f>T("   870840")</f>
        <v xml:space="preserve">   870840</v>
      </c>
      <c r="B8239" t="str">
        <f>T("   BOÎTES DE VITESSE ET LEURS PARTIES, POUR TRACTEURS, VÉHICULES POUR LE TRANSPORT DE &gt;= 10 PERSONNES, CHAUFFEUR INCLUS, VOITURES DE TOURISME, VÉHICULES POUR LE TRANSPORT DE MARCHANDISES ET VÉHICULES À USAGES SPÉCIAUX, N.D.A.")</f>
        <v xml:space="preserve">   BOÎTES DE VITESSE ET LEURS PARTIES, POUR TRACTEURS, VÉHICULES POUR LE TRANSPORT DE &gt;= 10 PERSONNES, CHAUFFEUR INCLUS, VOITURES DE TOURISME, VÉHICULES POUR LE TRANSPORT DE MARCHANDISES ET VÉHICULES À USAGES SPÉCIAUX, N.D.A.</v>
      </c>
      <c r="C8239">
        <v>121000</v>
      </c>
      <c r="D8239">
        <v>150</v>
      </c>
    </row>
    <row r="8240" spans="1:4" x14ac:dyDescent="0.25">
      <c r="A8240" t="str">
        <f>T("   870899")</f>
        <v xml:space="preserve">   870899</v>
      </c>
      <c r="B8240"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8240">
        <v>343848914</v>
      </c>
      <c r="D8240">
        <v>261028</v>
      </c>
    </row>
    <row r="8241" spans="1:4" x14ac:dyDescent="0.25">
      <c r="A8241" t="str">
        <f>T("   871120")</f>
        <v xml:space="preserve">   871120</v>
      </c>
      <c r="B8241" t="str">
        <f>T("   Motocycles à moteur à piston alternatif, cylindrée &gt; 50 cm³ mais &lt;= 250 cm³")</f>
        <v xml:space="preserve">   Motocycles à moteur à piston alternatif, cylindrée &gt; 50 cm³ mais &lt;= 250 cm³</v>
      </c>
      <c r="C8241">
        <v>923415000</v>
      </c>
      <c r="D8241">
        <v>492815</v>
      </c>
    </row>
    <row r="8242" spans="1:4" x14ac:dyDescent="0.25">
      <c r="A8242" t="str">
        <f>T("   871200")</f>
        <v xml:space="preserve">   871200</v>
      </c>
      <c r="B8242" t="str">
        <f>T("   BICYCLETTES ET AUTRES CYCLES, -Y.C. LES TRIPORTEURS-, SANS MOTEUR")</f>
        <v xml:space="preserve">   BICYCLETTES ET AUTRES CYCLES, -Y.C. LES TRIPORTEURS-, SANS MOTEUR</v>
      </c>
      <c r="C8242">
        <v>534000</v>
      </c>
      <c r="D8242">
        <v>560</v>
      </c>
    </row>
    <row r="8243" spans="1:4" x14ac:dyDescent="0.25">
      <c r="A8243" t="str">
        <f>T("   871419")</f>
        <v xml:space="preserve">   871419</v>
      </c>
      <c r="B8243" t="str">
        <f>T("   Parties et accessoires de motocycles, y.c. de cyclomoteurs, n.d.a.")</f>
        <v xml:space="preserve">   Parties et accessoires de motocycles, y.c. de cyclomoteurs, n.d.a.</v>
      </c>
      <c r="C8243">
        <v>332709960</v>
      </c>
      <c r="D8243">
        <v>946880</v>
      </c>
    </row>
    <row r="8244" spans="1:4" x14ac:dyDescent="0.25">
      <c r="A8244" t="str">
        <f>T("   871492")</f>
        <v xml:space="preserve">   871492</v>
      </c>
      <c r="B8244" t="str">
        <f>T("   Jantes et rayons, de bicyclettes")</f>
        <v xml:space="preserve">   Jantes et rayons, de bicyclettes</v>
      </c>
      <c r="C8244">
        <v>184500</v>
      </c>
      <c r="D8244">
        <v>220</v>
      </c>
    </row>
    <row r="8245" spans="1:4" x14ac:dyDescent="0.25">
      <c r="A8245" t="str">
        <f>T("   871499")</f>
        <v xml:space="preserve">   871499</v>
      </c>
      <c r="B8245" t="str">
        <f>T("   Parties et accessoires, de bicyclettes, n.d.a.")</f>
        <v xml:space="preserve">   Parties et accessoires, de bicyclettes, n.d.a.</v>
      </c>
      <c r="C8245">
        <v>905000</v>
      </c>
      <c r="D8245">
        <v>860</v>
      </c>
    </row>
    <row r="8246" spans="1:4" x14ac:dyDescent="0.25">
      <c r="A8246" t="str">
        <f>T("   871680")</f>
        <v xml:space="preserve">   871680</v>
      </c>
      <c r="B8246" t="str">
        <f>T("   Véhicules dirigés à la main et autres véhicules non automobiles, autres que remorques et semi-remorques")</f>
        <v xml:space="preserve">   Véhicules dirigés à la main et autres véhicules non automobiles, autres que remorques et semi-remorques</v>
      </c>
      <c r="C8246">
        <v>36000</v>
      </c>
      <c r="D8246">
        <v>60</v>
      </c>
    </row>
    <row r="8247" spans="1:4" x14ac:dyDescent="0.25">
      <c r="A8247" t="str">
        <f>T("   890590")</f>
        <v xml:space="preserve">   890590</v>
      </c>
      <c r="B8247" t="s">
        <v>492</v>
      </c>
      <c r="C8247">
        <v>23978520</v>
      </c>
      <c r="D8247">
        <v>30000</v>
      </c>
    </row>
    <row r="8248" spans="1:4" x14ac:dyDescent="0.25">
      <c r="A8248" t="str">
        <f>T("   900410")</f>
        <v xml:space="preserve">   900410</v>
      </c>
      <c r="B8248" t="str">
        <f>T("   Lunettes solaires")</f>
        <v xml:space="preserve">   Lunettes solaires</v>
      </c>
      <c r="C8248">
        <v>78400</v>
      </c>
      <c r="D8248">
        <v>98</v>
      </c>
    </row>
    <row r="8249" spans="1:4" x14ac:dyDescent="0.25">
      <c r="A8249" t="str">
        <f>T("   900921")</f>
        <v xml:space="preserve">   900921</v>
      </c>
      <c r="B8249" t="str">
        <f>T("   Appareils de photocopie à système optique (autres qu'électrostatiques)")</f>
        <v xml:space="preserve">   Appareils de photocopie à système optique (autres qu'électrostatiques)</v>
      </c>
      <c r="C8249">
        <v>4641380</v>
      </c>
      <c r="D8249">
        <v>7000</v>
      </c>
    </row>
    <row r="8250" spans="1:4" x14ac:dyDescent="0.25">
      <c r="A8250" t="str">
        <f>T("   901831")</f>
        <v xml:space="preserve">   901831</v>
      </c>
      <c r="B8250" t="str">
        <f>T("   Seringues, avec ou sans aiguilles, pour la médecine")</f>
        <v xml:space="preserve">   Seringues, avec ou sans aiguilles, pour la médecine</v>
      </c>
      <c r="C8250">
        <v>525000</v>
      </c>
      <c r="D8250">
        <v>525</v>
      </c>
    </row>
    <row r="8251" spans="1:4" x14ac:dyDescent="0.25">
      <c r="A8251" t="str">
        <f>T("   901890")</f>
        <v xml:space="preserve">   901890</v>
      </c>
      <c r="B8251" t="str">
        <f>T("   Instruments et appareils pour la médecine, la chirurgie ou l'art vétérinaire, n.d.a.")</f>
        <v xml:space="preserve">   Instruments et appareils pour la médecine, la chirurgie ou l'art vétérinaire, n.d.a.</v>
      </c>
      <c r="C8251">
        <v>1302000</v>
      </c>
      <c r="D8251">
        <v>300</v>
      </c>
    </row>
    <row r="8252" spans="1:4" x14ac:dyDescent="0.25">
      <c r="A8252" t="str">
        <f>T("   902190")</f>
        <v xml:space="preserve">   902190</v>
      </c>
      <c r="B8252" t="s">
        <v>498</v>
      </c>
      <c r="C8252">
        <v>229000</v>
      </c>
      <c r="D8252">
        <v>100</v>
      </c>
    </row>
    <row r="8253" spans="1:4" x14ac:dyDescent="0.25">
      <c r="A8253" t="str">
        <f>T("   902300")</f>
        <v xml:space="preserve">   902300</v>
      </c>
      <c r="B8253" t="s">
        <v>500</v>
      </c>
      <c r="C8253">
        <v>549408</v>
      </c>
      <c r="D8253">
        <v>300</v>
      </c>
    </row>
    <row r="8254" spans="1:4" x14ac:dyDescent="0.25">
      <c r="A8254" t="str">
        <f>T("   902680")</f>
        <v xml:space="preserve">   902680</v>
      </c>
      <c r="B8254" t="str">
        <f>T("   Instruments et appareils pour la mesure et le contrôle des caractéristiques variables des liquides ou des gaz, n.d.a.")</f>
        <v xml:space="preserve">   Instruments et appareils pour la mesure et le contrôle des caractéristiques variables des liquides ou des gaz, n.d.a.</v>
      </c>
      <c r="C8254">
        <v>871210</v>
      </c>
      <c r="D8254">
        <v>7</v>
      </c>
    </row>
    <row r="8255" spans="1:4" x14ac:dyDescent="0.25">
      <c r="A8255" t="str">
        <f>T("   903120")</f>
        <v xml:space="preserve">   903120</v>
      </c>
      <c r="B8255" t="str">
        <f>T("   Bancs d'essai pour moteurs, machines génératrices, pompes, etc.")</f>
        <v xml:space="preserve">   Bancs d'essai pour moteurs, machines génératrices, pompes, etc.</v>
      </c>
      <c r="C8255">
        <v>1597502</v>
      </c>
      <c r="D8255">
        <v>3000</v>
      </c>
    </row>
    <row r="8256" spans="1:4" x14ac:dyDescent="0.25">
      <c r="A8256" t="str">
        <f>T("   903180")</f>
        <v xml:space="preserve">   903180</v>
      </c>
      <c r="B8256" t="str">
        <f>T("   INSTRUMENTS, APPAREILS ET MACHINES DE MESURE OU DE CONTRÔLE, NON-OPTIQUES, N.D.A. DANS LE PRÉSENT CHAPITRE")</f>
        <v xml:space="preserve">   INSTRUMENTS, APPAREILS ET MACHINES DE MESURE OU DE CONTRÔLE, NON-OPTIQUES, N.D.A. DANS LE PRÉSENT CHAPITRE</v>
      </c>
      <c r="C8256">
        <v>105000</v>
      </c>
      <c r="D8256">
        <v>50</v>
      </c>
    </row>
    <row r="8257" spans="1:4" x14ac:dyDescent="0.25">
      <c r="A8257" t="str">
        <f>T("   903289")</f>
        <v xml:space="preserve">   903289</v>
      </c>
      <c r="B8257" t="s">
        <v>503</v>
      </c>
      <c r="C8257">
        <v>60000</v>
      </c>
      <c r="D8257">
        <v>50</v>
      </c>
    </row>
    <row r="8258" spans="1:4" x14ac:dyDescent="0.25">
      <c r="A8258" t="str">
        <f>T("   910212")</f>
        <v xml:space="preserve">   910212</v>
      </c>
      <c r="B8258" t="str">
        <f>T("   Montres-bracelets, même incorporant un compteur de temps, fonctionnant électriquement, à affichage optoélectronique seulement (autres que celles en métaux précieux ou en plaqués ou doublés de métaux précieux)")</f>
        <v xml:space="preserve">   Montres-bracelets, même incorporant un compteur de temps, fonctionnant électriquement, à affichage optoélectronique seulement (autres que celles en métaux précieux ou en plaqués ou doublés de métaux précieux)</v>
      </c>
      <c r="C8258">
        <v>1155000</v>
      </c>
      <c r="D8258">
        <v>1250</v>
      </c>
    </row>
    <row r="8259" spans="1:4" x14ac:dyDescent="0.25">
      <c r="A8259" t="str">
        <f>T("   910521")</f>
        <v xml:space="preserve">   910521</v>
      </c>
      <c r="B8259" t="str">
        <f>T("   PENDULES ET HORLOGES, MURALES, FONCTIONNANT ÉLECTRIQUEMENT [01/01/1988-31/12/1994: PENDULES ET HORLOGES MURALES, A PILE OU A ACCUMULATEUR OU FONCTIONNANT SUR SECTEUR]")</f>
        <v xml:space="preserve">   PENDULES ET HORLOGES, MURALES, FONCTIONNANT ÉLECTRIQUEMENT [01/01/1988-31/12/1994: PENDULES ET HORLOGES MURALES, A PILE OU A ACCUMULATEUR OU FONCTIONNANT SUR SECTEUR]</v>
      </c>
      <c r="C8259">
        <v>4168925</v>
      </c>
      <c r="D8259">
        <v>7110</v>
      </c>
    </row>
    <row r="8260" spans="1:4" x14ac:dyDescent="0.25">
      <c r="A8260" t="str">
        <f>T("   920190")</f>
        <v xml:space="preserve">   920190</v>
      </c>
      <c r="B8260" t="str">
        <f>T("   Clavecins et autres instruments à cordes à clavier (autres que pianos)")</f>
        <v xml:space="preserve">   Clavecins et autres instruments à cordes à clavier (autres que pianos)</v>
      </c>
      <c r="C8260">
        <v>150000</v>
      </c>
      <c r="D8260">
        <v>100</v>
      </c>
    </row>
    <row r="8261" spans="1:4" x14ac:dyDescent="0.25">
      <c r="A8261" t="str">
        <f>T("   920600")</f>
        <v xml:space="preserve">   920600</v>
      </c>
      <c r="B8261" t="str">
        <f>T("   INSTRUMENTS DE MUSIQUE À PERCUSSION, P.EX. TAMBOURS, CAISSES, XYLOPHONES, CYMBALES, CASTAGNETTES, MARACAS [01/01/1988-31/12/1994: TAMBOURS, CAISSES, XYLOPHONES, CYMBALES, CASTAGNETTES, MARACAS ET AUTRES INSTRUMENTS DE MUSIQUE A PERCUSSION]")</f>
        <v xml:space="preserve">   INSTRUMENTS DE MUSIQUE À PERCUSSION, P.EX. TAMBOURS, CAISSES, XYLOPHONES, CYMBALES, CASTAGNETTES, MARACAS [01/01/1988-31/12/1994: TAMBOURS, CAISSES, XYLOPHONES, CYMBALES, CASTAGNETTES, MARACAS ET AUTRES INSTRUMENTS DE MUSIQUE A PERCUSSION]</v>
      </c>
      <c r="C8261">
        <v>568800</v>
      </c>
      <c r="D8261">
        <v>250</v>
      </c>
    </row>
    <row r="8262" spans="1:4" x14ac:dyDescent="0.25">
      <c r="A8262" t="str">
        <f>T("   940130")</f>
        <v xml:space="preserve">   940130</v>
      </c>
      <c r="B8262" t="str">
        <f>T("   Sièges pivotants, ajustables en hauteur (à l'excl. de ceux pour la médecine, la chirurgie, l'art dentaire ou vétérinaire, ainsi que des fauteuils pour salons de coiffure)")</f>
        <v xml:space="preserve">   Sièges pivotants, ajustables en hauteur (à l'excl. de ceux pour la médecine, la chirurgie, l'art dentaire ou vétérinaire, ainsi que des fauteuils pour salons de coiffure)</v>
      </c>
      <c r="C8262">
        <v>7761155</v>
      </c>
      <c r="D8262">
        <v>1780</v>
      </c>
    </row>
    <row r="8263" spans="1:4" x14ac:dyDescent="0.25">
      <c r="A8263" t="str">
        <f>T("   940161")</f>
        <v xml:space="preserve">   940161</v>
      </c>
      <c r="B8263" t="str">
        <f>T("   Sièges, avec bâti en bois, rembourrés (non transformables en lits)")</f>
        <v xml:space="preserve">   Sièges, avec bâti en bois, rembourrés (non transformables en lits)</v>
      </c>
      <c r="C8263">
        <v>388668962</v>
      </c>
      <c r="D8263">
        <v>141224</v>
      </c>
    </row>
    <row r="8264" spans="1:4" x14ac:dyDescent="0.25">
      <c r="A8264" t="str">
        <f>T("   940169")</f>
        <v xml:space="preserve">   940169</v>
      </c>
      <c r="B8264" t="str">
        <f>T("   Sièges, avec bâti en bois, non rembourrés")</f>
        <v xml:space="preserve">   Sièges, avec bâti en bois, non rembourrés</v>
      </c>
      <c r="C8264">
        <v>187666</v>
      </c>
      <c r="D8264">
        <v>1050</v>
      </c>
    </row>
    <row r="8265" spans="1:4" x14ac:dyDescent="0.25">
      <c r="A8265" t="str">
        <f>T("   940180")</f>
        <v xml:space="preserve">   940180</v>
      </c>
      <c r="B8265" t="str">
        <f>T("   Sièges, n.d.a.")</f>
        <v xml:space="preserve">   Sièges, n.d.a.</v>
      </c>
      <c r="C8265">
        <v>9097000</v>
      </c>
      <c r="D8265">
        <v>18445</v>
      </c>
    </row>
    <row r="8266" spans="1:4" x14ac:dyDescent="0.25">
      <c r="A8266" t="str">
        <f>T("   940310")</f>
        <v xml:space="preserve">   940310</v>
      </c>
      <c r="B8266" t="str">
        <f>T("   Meubles de bureau en métal (sauf sièges)")</f>
        <v xml:space="preserve">   Meubles de bureau en métal (sauf sièges)</v>
      </c>
      <c r="C8266">
        <v>550000</v>
      </c>
      <c r="D8266">
        <v>1000</v>
      </c>
    </row>
    <row r="8267" spans="1:4" x14ac:dyDescent="0.25">
      <c r="A8267" t="str">
        <f>T("   940320")</f>
        <v xml:space="preserve">   940320</v>
      </c>
      <c r="B8267" t="str">
        <f>T("   Meubles en métal, sauf meubles de bureau, sièges et mobilier pour la médecine, la chirurgie, l'art dentaire ou vétérinaire")</f>
        <v xml:space="preserve">   Meubles en métal, sauf meubles de bureau, sièges et mobilier pour la médecine, la chirurgie, l'art dentaire ou vétérinaire</v>
      </c>
      <c r="C8267">
        <v>1007750</v>
      </c>
      <c r="D8267">
        <v>1450</v>
      </c>
    </row>
    <row r="8268" spans="1:4" x14ac:dyDescent="0.25">
      <c r="A8268" t="str">
        <f>T("   940330")</f>
        <v xml:space="preserve">   940330</v>
      </c>
      <c r="B8268" t="str">
        <f>T("   Meubles de bureau en bois (sauf sièges)")</f>
        <v xml:space="preserve">   Meubles de bureau en bois (sauf sièges)</v>
      </c>
      <c r="C8268">
        <v>22627717</v>
      </c>
      <c r="D8268">
        <v>21875</v>
      </c>
    </row>
    <row r="8269" spans="1:4" x14ac:dyDescent="0.25">
      <c r="A8269" t="str">
        <f>T("   940340")</f>
        <v xml:space="preserve">   940340</v>
      </c>
      <c r="B8269" t="str">
        <f>T("   Meubles de cuisine, en bois (sauf sièges)")</f>
        <v xml:space="preserve">   Meubles de cuisine, en bois (sauf sièges)</v>
      </c>
      <c r="C8269">
        <v>5327975</v>
      </c>
      <c r="D8269">
        <v>3930</v>
      </c>
    </row>
    <row r="8270" spans="1:4" x14ac:dyDescent="0.25">
      <c r="A8270" t="str">
        <f>T("   940350")</f>
        <v xml:space="preserve">   940350</v>
      </c>
      <c r="B8270" t="str">
        <f>T("   Meubles pour chambres à coucher, en bois (sauf sièges)")</f>
        <v xml:space="preserve">   Meubles pour chambres à coucher, en bois (sauf sièges)</v>
      </c>
      <c r="C8270">
        <v>41790694</v>
      </c>
      <c r="D8270">
        <v>26620</v>
      </c>
    </row>
    <row r="8271" spans="1:4" x14ac:dyDescent="0.25">
      <c r="A8271" t="str">
        <f>T("   940360")</f>
        <v xml:space="preserve">   940360</v>
      </c>
      <c r="B8271" t="str">
        <f>T("   Meubles en bois (autres que pour bureaux, cuisines ou chambres à coucher et autres que sièges)")</f>
        <v xml:space="preserve">   Meubles en bois (autres que pour bureaux, cuisines ou chambres à coucher et autres que sièges)</v>
      </c>
      <c r="C8271">
        <v>36306704</v>
      </c>
      <c r="D8271">
        <v>20485</v>
      </c>
    </row>
    <row r="8272" spans="1:4" x14ac:dyDescent="0.25">
      <c r="A8272" t="str">
        <f>T("   940370")</f>
        <v xml:space="preserve">   940370</v>
      </c>
      <c r="B8272" t="str">
        <f>T("   Meubles en matières plastiques (autres que pour la médecine, l'art dentaire et vétérinaire, la chirurgie et autres que sièges)")</f>
        <v xml:space="preserve">   Meubles en matières plastiques (autres que pour la médecine, l'art dentaire et vétérinaire, la chirurgie et autres que sièges)</v>
      </c>
      <c r="C8272">
        <v>16418083</v>
      </c>
      <c r="D8272">
        <v>32300</v>
      </c>
    </row>
    <row r="8273" spans="1:4" x14ac:dyDescent="0.25">
      <c r="A8273" t="str">
        <f>T("   940390")</f>
        <v xml:space="preserve">   940390</v>
      </c>
      <c r="B8273" t="str">
        <f>T("   PARTIES DE MEUBLES, N.D.A. (AUTRES QUE DE SIÈGES ET MOBILIER POUR LA MÉDECINE, L'ART DENTAIRE ET VÉTÉRINAIRE OU LA CHIRURGIE)")</f>
        <v xml:space="preserve">   PARTIES DE MEUBLES, N.D.A. (AUTRES QUE DE SIÈGES ET MOBILIER POUR LA MÉDECINE, L'ART DENTAIRE ET VÉTÉRINAIRE OU LA CHIRURGIE)</v>
      </c>
      <c r="C8273">
        <v>3105603</v>
      </c>
      <c r="D8273">
        <v>7960</v>
      </c>
    </row>
    <row r="8274" spans="1:4" x14ac:dyDescent="0.25">
      <c r="A8274" t="str">
        <f>T("   940410")</f>
        <v xml:space="preserve">   940410</v>
      </c>
      <c r="B8274" t="str">
        <f>T("   Sommiers (sauf ressorts pour sièges)")</f>
        <v xml:space="preserve">   Sommiers (sauf ressorts pour sièges)</v>
      </c>
      <c r="C8274">
        <v>2475843</v>
      </c>
      <c r="D8274">
        <v>2085</v>
      </c>
    </row>
    <row r="8275" spans="1:4" x14ac:dyDescent="0.25">
      <c r="A8275" t="str">
        <f>T("   940429")</f>
        <v xml:space="preserve">   940429</v>
      </c>
      <c r="B8275" t="str">
        <f>T("   Matelas à ressorts ou rembourrés, ou garnis intérieurement de matières autres que le caoutchouc alvéolaire ou les matières plastiques alvéolaires (sauf matelas à eau, matelas pneumatiques et oreillers)")</f>
        <v xml:space="preserve">   Matelas à ressorts ou rembourrés, ou garnis intérieurement de matières autres que le caoutchouc alvéolaire ou les matières plastiques alvéolaires (sauf matelas à eau, matelas pneumatiques et oreillers)</v>
      </c>
      <c r="C8275">
        <v>301500</v>
      </c>
      <c r="D8275">
        <v>365</v>
      </c>
    </row>
    <row r="8276" spans="1:4" x14ac:dyDescent="0.25">
      <c r="A8276" t="str">
        <f>T("   940490")</f>
        <v xml:space="preserve">   940490</v>
      </c>
      <c r="B8276" t="s">
        <v>508</v>
      </c>
      <c r="C8276">
        <v>14521054</v>
      </c>
      <c r="D8276">
        <v>2620</v>
      </c>
    </row>
    <row r="8277" spans="1:4" x14ac:dyDescent="0.25">
      <c r="A8277" t="str">
        <f>T("   940530")</f>
        <v xml:space="preserve">   940530</v>
      </c>
      <c r="B8277" t="str">
        <f>T("   GUIRLANDES ÉLECTRIQUES POUR ARBRES DE NOÙL")</f>
        <v xml:space="preserve">   GUIRLANDES ÉLECTRIQUES POUR ARBRES DE NOÙL</v>
      </c>
      <c r="C8277">
        <v>90000</v>
      </c>
      <c r="D8277">
        <v>90</v>
      </c>
    </row>
    <row r="8278" spans="1:4" x14ac:dyDescent="0.25">
      <c r="A8278" t="str">
        <f>T("   940540")</f>
        <v xml:space="preserve">   940540</v>
      </c>
      <c r="B8278" t="str">
        <f>T("   Appareils d'éclairage électrique, n.d.a.")</f>
        <v xml:space="preserve">   Appareils d'éclairage électrique, n.d.a.</v>
      </c>
      <c r="C8278">
        <v>22215750</v>
      </c>
      <c r="D8278">
        <v>26320</v>
      </c>
    </row>
    <row r="8279" spans="1:4" x14ac:dyDescent="0.25">
      <c r="A8279" t="str">
        <f>T("   940550")</f>
        <v xml:space="preserve">   940550</v>
      </c>
      <c r="B8279" t="str">
        <f>T("   Appareils d'éclairage non-électriques, n.d.a.")</f>
        <v xml:space="preserve">   Appareils d'éclairage non-électriques, n.d.a.</v>
      </c>
      <c r="C8279">
        <v>1586000</v>
      </c>
      <c r="D8279">
        <v>1470</v>
      </c>
    </row>
    <row r="8280" spans="1:4" x14ac:dyDescent="0.25">
      <c r="A8280" t="str">
        <f>T("   940560")</f>
        <v xml:space="preserve">   940560</v>
      </c>
      <c r="B8280" t="str">
        <f>T("   Lampes-réclames, enseignes lumineuses, plaques indicatrices lumineuses et articles simil., possédant une source d'éclairage fixée à demeure")</f>
        <v xml:space="preserve">   Lampes-réclames, enseignes lumineuses, plaques indicatrices lumineuses et articles simil., possédant une source d'éclairage fixée à demeure</v>
      </c>
      <c r="C8280">
        <v>745600</v>
      </c>
      <c r="D8280">
        <v>1000</v>
      </c>
    </row>
    <row r="8281" spans="1:4" x14ac:dyDescent="0.25">
      <c r="A8281" t="str">
        <f>T("   940591")</f>
        <v xml:space="preserve">   940591</v>
      </c>
      <c r="B8281" t="str">
        <f>T("   Parties en verres d'appareils d'éclairage, de lampes-réclames, d'enseignes lumineuses, de plaques indicatrices lumineuses, et simil., n.d.a.")</f>
        <v xml:space="preserve">   Parties en verres d'appareils d'éclairage, de lampes-réclames, d'enseignes lumineuses, de plaques indicatrices lumineuses, et simil., n.d.a.</v>
      </c>
      <c r="C8281">
        <v>1569750</v>
      </c>
      <c r="D8281">
        <v>1880</v>
      </c>
    </row>
    <row r="8282" spans="1:4" x14ac:dyDescent="0.25">
      <c r="A8282" t="str">
        <f>T("   940600")</f>
        <v xml:space="preserve">   940600</v>
      </c>
      <c r="B8282" t="str">
        <f>T("   Constructions préfabriquées, même incomplètes ou non encore montées")</f>
        <v xml:space="preserve">   Constructions préfabriquées, même incomplètes ou non encore montées</v>
      </c>
      <c r="C8282">
        <v>3300739</v>
      </c>
      <c r="D8282">
        <v>14850</v>
      </c>
    </row>
    <row r="8283" spans="1:4" x14ac:dyDescent="0.25">
      <c r="A8283" t="str">
        <f>T("   950350")</f>
        <v xml:space="preserve">   950350</v>
      </c>
      <c r="B8283" t="str">
        <f>T("   INSTRUMENTS ET APPAREILS DE MUSIQUE-JOUETS")</f>
        <v xml:space="preserve">   INSTRUMENTS ET APPAREILS DE MUSIQUE-JOUETS</v>
      </c>
      <c r="C8283">
        <v>188000</v>
      </c>
      <c r="D8283">
        <v>250</v>
      </c>
    </row>
    <row r="8284" spans="1:4" x14ac:dyDescent="0.25">
      <c r="A8284" t="str">
        <f>T("   950390")</f>
        <v xml:space="preserve">   950390</v>
      </c>
      <c r="B8284" t="str">
        <f>T("   Jouets, n.d.a.")</f>
        <v xml:space="preserve">   Jouets, n.d.a.</v>
      </c>
      <c r="C8284">
        <v>4489750</v>
      </c>
      <c r="D8284">
        <v>6045</v>
      </c>
    </row>
    <row r="8285" spans="1:4" x14ac:dyDescent="0.25">
      <c r="A8285" t="str">
        <f>T("   950440")</f>
        <v xml:space="preserve">   950440</v>
      </c>
      <c r="B8285" t="str">
        <f>T("   Cartes à jouer")</f>
        <v xml:space="preserve">   Cartes à jouer</v>
      </c>
      <c r="C8285">
        <v>36100</v>
      </c>
      <c r="D8285">
        <v>45</v>
      </c>
    </row>
    <row r="8286" spans="1:4" x14ac:dyDescent="0.25">
      <c r="A8286" t="str">
        <f>T("   950669")</f>
        <v xml:space="preserve">   950669</v>
      </c>
      <c r="B8286" t="str">
        <f>T("   Ballons et balles (autres que gonflables et autres que balles de golf ou de tennis de table)")</f>
        <v xml:space="preserve">   Ballons et balles (autres que gonflables et autres que balles de golf ou de tennis de table)</v>
      </c>
      <c r="C8286">
        <v>30000</v>
      </c>
      <c r="D8286">
        <v>60</v>
      </c>
    </row>
    <row r="8287" spans="1:4" x14ac:dyDescent="0.25">
      <c r="A8287" t="str">
        <f>T("   960321")</f>
        <v xml:space="preserve">   960321</v>
      </c>
      <c r="B8287" t="str">
        <f>T("   Brosses à dent, y.c. brosses à prothèses dentaires")</f>
        <v xml:space="preserve">   Brosses à dent, y.c. brosses à prothèses dentaires</v>
      </c>
      <c r="C8287">
        <v>829400</v>
      </c>
      <c r="D8287">
        <v>754</v>
      </c>
    </row>
    <row r="8288" spans="1:4" x14ac:dyDescent="0.25">
      <c r="A8288" t="str">
        <f>T("   960810")</f>
        <v xml:space="preserve">   960810</v>
      </c>
      <c r="B8288" t="str">
        <f>T("   Stylos et crayons à bille")</f>
        <v xml:space="preserve">   Stylos et crayons à bille</v>
      </c>
      <c r="C8288">
        <v>85000</v>
      </c>
      <c r="D8288">
        <v>50</v>
      </c>
    </row>
    <row r="8289" spans="1:4" x14ac:dyDescent="0.25">
      <c r="A8289" t="str">
        <f>T("   960920")</f>
        <v xml:space="preserve">   960920</v>
      </c>
      <c r="B8289" t="str">
        <f>T("   Mines pour crayons ou porte-mine")</f>
        <v xml:space="preserve">   Mines pour crayons ou porte-mine</v>
      </c>
      <c r="C8289">
        <v>6000</v>
      </c>
      <c r="D8289">
        <v>20</v>
      </c>
    </row>
    <row r="8290" spans="1:4" x14ac:dyDescent="0.25">
      <c r="A8290" t="str">
        <f>T("   960990")</f>
        <v xml:space="preserve">   960990</v>
      </c>
      <c r="B8290" t="str">
        <f>T("   Crayons (sauf crayons à gaine), pastels, fusains, craies à écrire ou à dessiner et craies de tailleurs")</f>
        <v xml:space="preserve">   Crayons (sauf crayons à gaine), pastels, fusains, craies à écrire ou à dessiner et craies de tailleurs</v>
      </c>
      <c r="C8290">
        <v>79500</v>
      </c>
      <c r="D8290">
        <v>150</v>
      </c>
    </row>
    <row r="8291" spans="1:4" x14ac:dyDescent="0.25">
      <c r="A8291" t="str">
        <f>T("   961210")</f>
        <v xml:space="preserve">   961210</v>
      </c>
      <c r="B8291" t="str">
        <f>T("   Rubans encreurs pour machines à écrire et rubans encreurs simil., encrés ou autrement préparés en vue de laisser des empreintes, même montés sur bobines ou en cartouches")</f>
        <v xml:space="preserve">   Rubans encreurs pour machines à écrire et rubans encreurs simil., encrés ou autrement préparés en vue de laisser des empreintes, même montés sur bobines ou en cartouches</v>
      </c>
      <c r="C8291">
        <v>80000</v>
      </c>
      <c r="D8291">
        <v>200</v>
      </c>
    </row>
    <row r="8292" spans="1:4" x14ac:dyDescent="0.25">
      <c r="A8292" t="str">
        <f>T("   961511")</f>
        <v xml:space="preserve">   961511</v>
      </c>
      <c r="B8292" t="str">
        <f>T("   PEIGNÉS À COIFFER, PEIGNÉS DE COIFFURE, BARRETTES ET ARTICLES SIMIL., EN CAOUTCHOUC DURCI OU EN MATIÈRES PLASTIQUES")</f>
        <v xml:space="preserve">   PEIGNÉS À COIFFER, PEIGNÉS DE COIFFURE, BARRETTES ET ARTICLES SIMIL., EN CAOUTCHOUC DURCI OU EN MATIÈRES PLASTIQUES</v>
      </c>
      <c r="C8292">
        <v>31450</v>
      </c>
      <c r="D8292">
        <v>74</v>
      </c>
    </row>
    <row r="8293" spans="1:4" x14ac:dyDescent="0.25">
      <c r="A8293" t="str">
        <f>T("   961590")</f>
        <v xml:space="preserve">   961590</v>
      </c>
      <c r="B8293" t="str">
        <f>T("   Epingles à cheveux; pince-guiches, ondulateurs, bigoudis et articles pour la coiffure (autres que ceux du n° 8516); parties")</f>
        <v xml:space="preserve">   Epingles à cheveux; pince-guiches, ondulateurs, bigoudis et articles pour la coiffure (autres que ceux du n° 8516); parties</v>
      </c>
      <c r="C8293">
        <v>90000</v>
      </c>
      <c r="D8293">
        <v>90</v>
      </c>
    </row>
    <row r="8294" spans="1:4" x14ac:dyDescent="0.25">
      <c r="A8294" t="str">
        <f>T("   961700")</f>
        <v xml:space="preserve">   961700</v>
      </c>
      <c r="B8294" t="str">
        <f>T("   Bouteilles isolantes et autres récipients isothermiques montés, dont l'isolation est assurée par le vide, ainsi que leurs parties (à l'excl. des ampoules en verre)")</f>
        <v xml:space="preserve">   Bouteilles isolantes et autres récipients isothermiques montés, dont l'isolation est assurée par le vide, ainsi que leurs parties (à l'excl. des ampoules en verre)</v>
      </c>
      <c r="C8294">
        <v>28192896</v>
      </c>
      <c r="D8294">
        <v>115480</v>
      </c>
    </row>
    <row r="8295" spans="1:4" x14ac:dyDescent="0.25">
      <c r="A8295" t="str">
        <f>T("NL")</f>
        <v>NL</v>
      </c>
      <c r="B8295" t="str">
        <f>T("Pays-bas")</f>
        <v>Pays-bas</v>
      </c>
    </row>
    <row r="8296" spans="1:4" x14ac:dyDescent="0.25">
      <c r="A8296" t="str">
        <f>T("   ZZ_Total_Produit_SH6")</f>
        <v xml:space="preserve">   ZZ_Total_Produit_SH6</v>
      </c>
      <c r="B8296" t="str">
        <f>T("   ZZ_Total_Produit_SH6")</f>
        <v xml:space="preserve">   ZZ_Total_Produit_SH6</v>
      </c>
      <c r="C8296">
        <v>46236630015.572998</v>
      </c>
      <c r="D8296">
        <v>62087707.560000002</v>
      </c>
    </row>
    <row r="8297" spans="1:4" x14ac:dyDescent="0.25">
      <c r="A8297" t="str">
        <f>T("   020230")</f>
        <v xml:space="preserve">   020230</v>
      </c>
      <c r="B8297" t="str">
        <f>T("   Viandes désossées de bovins, congelées")</f>
        <v xml:space="preserve">   Viandes désossées de bovins, congelées</v>
      </c>
      <c r="C8297">
        <v>31100376</v>
      </c>
      <c r="D8297">
        <v>56000</v>
      </c>
    </row>
    <row r="8298" spans="1:4" x14ac:dyDescent="0.25">
      <c r="A8298" t="str">
        <f>T("   020711")</f>
        <v xml:space="preserve">   020711</v>
      </c>
      <c r="B8298" t="str">
        <f>T("   COQS ET POULES [DES ESPÈCES DOMESTIQUES], NON-DÉCOUPÉS EN MORCEAUX, FRAIS OU RÉFRIGÉRÉS")</f>
        <v xml:space="preserve">   COQS ET POULES [DES ESPÈCES DOMESTIQUES], NON-DÉCOUPÉS EN MORCEAUX, FRAIS OU RÉFRIGÉRÉS</v>
      </c>
      <c r="C8298">
        <v>79859199</v>
      </c>
      <c r="D8298">
        <v>128390</v>
      </c>
    </row>
    <row r="8299" spans="1:4" x14ac:dyDescent="0.25">
      <c r="A8299" t="str">
        <f>T("   020712")</f>
        <v xml:space="preserve">   020712</v>
      </c>
      <c r="B8299" t="str">
        <f>T("   COQS ET POULES [DES ESPÈCES DOMESTIQUES], NON-DÉCOUPÉS EN MORCEAUX, CONGELÉS")</f>
        <v xml:space="preserve">   COQS ET POULES [DES ESPÈCES DOMESTIQUES], NON-DÉCOUPÉS EN MORCEAUX, CONGELÉS</v>
      </c>
      <c r="C8299">
        <v>2099834982</v>
      </c>
      <c r="D8299">
        <v>3448686</v>
      </c>
    </row>
    <row r="8300" spans="1:4" x14ac:dyDescent="0.25">
      <c r="A8300" t="str">
        <f>T("   020714")</f>
        <v xml:space="preserve">   020714</v>
      </c>
      <c r="B8300" t="str">
        <f>T("   Morceaux et abats comestibles de coqs et de poules [des espèces domestiques], congelés")</f>
        <v xml:space="preserve">   Morceaux et abats comestibles de coqs et de poules [des espèces domestiques], congelés</v>
      </c>
      <c r="C8300">
        <v>11799721375</v>
      </c>
      <c r="D8300">
        <v>19339752</v>
      </c>
    </row>
    <row r="8301" spans="1:4" x14ac:dyDescent="0.25">
      <c r="A8301" t="str">
        <f>T("   020726")</f>
        <v xml:space="preserve">   020726</v>
      </c>
      <c r="B8301" t="str">
        <f>T("   Morceaux et abats comestibles de dindes et dindons [des espèces domestiques], frais ou réfrigérés")</f>
        <v xml:space="preserve">   Morceaux et abats comestibles de dindes et dindons [des espèces domestiques], frais ou réfrigérés</v>
      </c>
      <c r="C8301">
        <v>15550000</v>
      </c>
      <c r="D8301">
        <v>25000</v>
      </c>
    </row>
    <row r="8302" spans="1:4" x14ac:dyDescent="0.25">
      <c r="A8302" t="str">
        <f>T("   020727")</f>
        <v xml:space="preserve">   020727</v>
      </c>
      <c r="B8302" t="str">
        <f>T("   Morceaux et abats comestibles de dindes et dindons [des espèces domestiques], congelés")</f>
        <v xml:space="preserve">   Morceaux et abats comestibles de dindes et dindons [des espèces domestiques], congelés</v>
      </c>
      <c r="C8302">
        <v>4082564119</v>
      </c>
      <c r="D8302">
        <v>6588082</v>
      </c>
    </row>
    <row r="8303" spans="1:4" x14ac:dyDescent="0.25">
      <c r="A8303" t="str">
        <f>T("   020736")</f>
        <v xml:space="preserve">   020736</v>
      </c>
      <c r="B8303" t="str">
        <f>T("   Morceaux et abats comestibles de canards, d'oies ou de pintades [des espèces domestiques], congelés (à l'excl. des foies gras)")</f>
        <v xml:space="preserve">   Morceaux et abats comestibles de canards, d'oies ou de pintades [des espèces domestiques], congelés (à l'excl. des foies gras)</v>
      </c>
      <c r="C8303">
        <v>15550188</v>
      </c>
      <c r="D8303">
        <v>25000</v>
      </c>
    </row>
    <row r="8304" spans="1:4" x14ac:dyDescent="0.25">
      <c r="A8304" t="str">
        <f>T("   030371")</f>
        <v xml:space="preserve">   030371</v>
      </c>
      <c r="B8304" t="str">
        <f>T("   Sardines [Sardina pilchardus, Sardinops spp.], sardinelles [Sardinella spp.], sprats ou esprots [Sprattus sprattus], congelés")</f>
        <v xml:space="preserve">   Sardines [Sardina pilchardus, Sardinops spp.], sardinelles [Sardinella spp.], sprats ou esprots [Sprattus sprattus], congelés</v>
      </c>
      <c r="C8304">
        <v>24300694</v>
      </c>
      <c r="D8304">
        <v>108000</v>
      </c>
    </row>
    <row r="8305" spans="1:4" x14ac:dyDescent="0.25">
      <c r="A8305" t="str">
        <f>T("   030379")</f>
        <v xml:space="preserve">   030379</v>
      </c>
      <c r="B8305" t="s">
        <v>15</v>
      </c>
      <c r="C8305">
        <v>904142665</v>
      </c>
      <c r="D8305">
        <v>4017805</v>
      </c>
    </row>
    <row r="8306" spans="1:4" x14ac:dyDescent="0.25">
      <c r="A8306" t="str">
        <f>T("   040210")</f>
        <v xml:space="preserve">   040210</v>
      </c>
      <c r="B8306" t="str">
        <f>T("   Lait et crème de lait, en poudre, en granulés ou sous d'autres formes solides, d'une teneur en poids de matières grasses &lt;= 1,5%")</f>
        <v xml:space="preserve">   Lait et crème de lait, en poudre, en granulés ou sous d'autres formes solides, d'une teneur en poids de matières grasses &lt;= 1,5%</v>
      </c>
      <c r="C8306">
        <v>72702260</v>
      </c>
      <c r="D8306">
        <v>28639</v>
      </c>
    </row>
    <row r="8307" spans="1:4" x14ac:dyDescent="0.25">
      <c r="A8307" t="str">
        <f>T("   040221")</f>
        <v xml:space="preserve">   040221</v>
      </c>
      <c r="B8307" t="str">
        <f>T("   Lait et crème de lait, en poudre, en granulés ou sous d'autres formes solides, d'une teneur en poids de matières grasses &gt; 1,5%, sans addition de sucre ou d'autres édulcorants")</f>
        <v xml:space="preserve">   Lait et crème de lait, en poudre, en granulés ou sous d'autres formes solides, d'une teneur en poids de matières grasses &gt; 1,5%, sans addition de sucre ou d'autres édulcorants</v>
      </c>
      <c r="C8307">
        <v>1494379221</v>
      </c>
      <c r="D8307">
        <v>548990.80000000005</v>
      </c>
    </row>
    <row r="8308" spans="1:4" x14ac:dyDescent="0.25">
      <c r="A8308" t="str">
        <f>T("   040229")</f>
        <v xml:space="preserve">   040229</v>
      </c>
      <c r="B8308" t="str">
        <f>T("   Lait et crème de lait, en poudre, en granulés ou sous d'autres formes solides, d'une teneur en poids de matières grasses &gt; 1,5%, avec addition de sucre ou d'autres édulcorants")</f>
        <v xml:space="preserve">   Lait et crème de lait, en poudre, en granulés ou sous d'autres formes solides, d'une teneur en poids de matières grasses &gt; 1,5%, avec addition de sucre ou d'autres édulcorants</v>
      </c>
      <c r="C8308">
        <v>70000000</v>
      </c>
      <c r="D8308">
        <v>32512</v>
      </c>
    </row>
    <row r="8309" spans="1:4" x14ac:dyDescent="0.25">
      <c r="A8309" t="str">
        <f>T("   040291")</f>
        <v xml:space="preserve">   040291</v>
      </c>
      <c r="B8309" t="str">
        <f>T("   Lait et crème de lait, concentrés, sans addition de sucre ou d'autres édulcorants (à l'excl. des laits et crèmes de lait en poudre, en granulés ou sous d'autres formes solides)")</f>
        <v xml:space="preserve">   Lait et crème de lait, concentrés, sans addition de sucre ou d'autres édulcorants (à l'excl. des laits et crèmes de lait en poudre, en granulés ou sous d'autres formes solides)</v>
      </c>
      <c r="C8309">
        <v>3306990322</v>
      </c>
      <c r="D8309">
        <v>3286601.92</v>
      </c>
    </row>
    <row r="8310" spans="1:4" x14ac:dyDescent="0.25">
      <c r="A8310" t="str">
        <f>T("   050400")</f>
        <v xml:space="preserve">   050400</v>
      </c>
      <c r="B8310" t="str">
        <f>T("   Boyaux, vessies et estomacs d'animaux (autres que ceux de poissons), entiers ou en morceaux, à l'état frais, réfrigéré, congelé, salé ou en saumure, séché ou fumé")</f>
        <v xml:space="preserve">   Boyaux, vessies et estomacs d'animaux (autres que ceux de poissons), entiers ou en morceaux, à l'état frais, réfrigéré, congelé, salé ou en saumure, séché ou fumé</v>
      </c>
      <c r="C8310">
        <v>186908911</v>
      </c>
      <c r="D8310">
        <v>169849</v>
      </c>
    </row>
    <row r="8311" spans="1:4" x14ac:dyDescent="0.25">
      <c r="A8311" t="str">
        <f>T("   070190")</f>
        <v xml:space="preserve">   070190</v>
      </c>
      <c r="B8311" t="str">
        <f>T("   Pommes de terre, à l'état frais ou réfrigéré (à l'excl. des pommes de terre de semence)")</f>
        <v xml:space="preserve">   Pommes de terre, à l'état frais ou réfrigéré (à l'excl. des pommes de terre de semence)</v>
      </c>
      <c r="C8311">
        <v>49829037</v>
      </c>
      <c r="D8311">
        <v>263000</v>
      </c>
    </row>
    <row r="8312" spans="1:4" x14ac:dyDescent="0.25">
      <c r="A8312" t="str">
        <f>T("   071010")</f>
        <v xml:space="preserve">   071010</v>
      </c>
      <c r="B8312" t="str">
        <f>T("   Pommes de terre, non cuites ou cuites à l'eau ou à la vapeur, congelées")</f>
        <v xml:space="preserve">   Pommes de terre, non cuites ou cuites à l'eau ou à la vapeur, congelées</v>
      </c>
      <c r="C8312">
        <v>9570005</v>
      </c>
      <c r="D8312">
        <v>58000</v>
      </c>
    </row>
    <row r="8313" spans="1:4" x14ac:dyDescent="0.25">
      <c r="A8313" t="str">
        <f>T("   110100")</f>
        <v xml:space="preserve">   110100</v>
      </c>
      <c r="B8313" t="str">
        <f>T("   Farines de froment [blé] ou de méteil")</f>
        <v xml:space="preserve">   Farines de froment [blé] ou de méteil</v>
      </c>
      <c r="C8313">
        <v>311973656.61199999</v>
      </c>
      <c r="D8313">
        <v>1151567</v>
      </c>
    </row>
    <row r="8314" spans="1:4" x14ac:dyDescent="0.25">
      <c r="A8314" t="str">
        <f>T("   110710")</f>
        <v xml:space="preserve">   110710</v>
      </c>
      <c r="B8314" t="str">
        <f>T("   MALT, NON-TORRÉFIÉ")</f>
        <v xml:space="preserve">   MALT, NON-TORRÉFIÉ</v>
      </c>
      <c r="C8314">
        <v>532428955</v>
      </c>
      <c r="D8314">
        <v>1194760</v>
      </c>
    </row>
    <row r="8315" spans="1:4" x14ac:dyDescent="0.25">
      <c r="A8315" t="str">
        <f>T("   151190")</f>
        <v xml:space="preserve">   151190</v>
      </c>
      <c r="B8315" t="str">
        <f>T("   Huile de palme et ses fractions, même raffinées, mais non chimiquement modifiées (à l'excl. de l'huile de palme brute)")</f>
        <v xml:space="preserve">   Huile de palme et ses fractions, même raffinées, mais non chimiquement modifiées (à l'excl. de l'huile de palme brute)</v>
      </c>
      <c r="C8315">
        <v>45734218.961000003</v>
      </c>
      <c r="D8315">
        <v>120150</v>
      </c>
    </row>
    <row r="8316" spans="1:4" x14ac:dyDescent="0.25">
      <c r="A8316" t="str">
        <f>T("   151790")</f>
        <v xml:space="preserve">   151790</v>
      </c>
      <c r="B8316" t="s">
        <v>35</v>
      </c>
      <c r="C8316">
        <v>9428000</v>
      </c>
      <c r="D8316">
        <v>20626</v>
      </c>
    </row>
    <row r="8317" spans="1:4" x14ac:dyDescent="0.25">
      <c r="A8317" t="str">
        <f>T("   160100")</f>
        <v xml:space="preserve">   160100</v>
      </c>
      <c r="B8317" t="str">
        <f>T("   Saucisses, saucissons et produits simil., de viande, d'abats ou de sang; préparations alimentaires à base de ces produits")</f>
        <v xml:space="preserve">   Saucisses, saucissons et produits simil., de viande, d'abats ou de sang; préparations alimentaires à base de ces produits</v>
      </c>
      <c r="C8317">
        <v>118452601</v>
      </c>
      <c r="D8317">
        <v>156502</v>
      </c>
    </row>
    <row r="8318" spans="1:4" x14ac:dyDescent="0.25">
      <c r="A8318" t="str">
        <f>T("   190190")</f>
        <v xml:space="preserve">   190190</v>
      </c>
      <c r="B8318" t="s">
        <v>48</v>
      </c>
      <c r="C8318">
        <v>392203089</v>
      </c>
      <c r="D8318">
        <v>632349.26</v>
      </c>
    </row>
    <row r="8319" spans="1:4" x14ac:dyDescent="0.25">
      <c r="A8319" t="str">
        <f>T("   190219")</f>
        <v xml:space="preserve">   190219</v>
      </c>
      <c r="B8319" t="str">
        <f>T("   PÂTES ALIMENTAIRES NON-CUITES NI FARCIES NI AUTREMENT PRÉPARÉES, NE CONTENANT PAS D'OEUFS")</f>
        <v xml:space="preserve">   PÂTES ALIMENTAIRES NON-CUITES NI FARCIES NI AUTREMENT PRÉPARÉES, NE CONTENANT PAS D'OEUFS</v>
      </c>
      <c r="C8319">
        <v>43100118</v>
      </c>
      <c r="D8319">
        <v>191435</v>
      </c>
    </row>
    <row r="8320" spans="1:4" x14ac:dyDescent="0.25">
      <c r="A8320" t="str">
        <f>T("   190531")</f>
        <v xml:space="preserve">   190531</v>
      </c>
      <c r="B8320" t="str">
        <f>T("   Biscuits additionnés d'édulcorants")</f>
        <v xml:space="preserve">   Biscuits additionnés d'édulcorants</v>
      </c>
      <c r="C8320">
        <v>45757539</v>
      </c>
      <c r="D8320">
        <v>37911</v>
      </c>
    </row>
    <row r="8321" spans="1:4" x14ac:dyDescent="0.25">
      <c r="A8321" t="str">
        <f>T("   190590")</f>
        <v xml:space="preserve">   190590</v>
      </c>
      <c r="B8321" t="s">
        <v>50</v>
      </c>
      <c r="C8321">
        <v>23492223</v>
      </c>
      <c r="D8321">
        <v>18518</v>
      </c>
    </row>
    <row r="8322" spans="1:4" x14ac:dyDescent="0.25">
      <c r="A8322" t="str">
        <f>T("   200990")</f>
        <v xml:space="preserve">   200990</v>
      </c>
      <c r="B8322" t="str">
        <f>T("   MÉLANGES DE JUS DE FRUITS - Y.C. LES MOÛTS DE RAISIN - ET DE JUS DE LÉGUMES, NON-FERMENTÉS, SANS ADDITION D'ALCOOL, AVEC OU SANS ADDITION DE SUCRE OU D'AUTRES ÉDULCORANTS")</f>
        <v xml:space="preserve">   MÉLANGES DE JUS DE FRUITS - Y.C. LES MOÛTS DE RAISIN - ET DE JUS DE LÉGUMES, NON-FERMENTÉS, SANS ADDITION D'ALCOOL, AVEC OU SANS ADDITION DE SUCRE OU D'AUTRES ÉDULCORANTS</v>
      </c>
      <c r="C8322">
        <v>3968179</v>
      </c>
      <c r="D8322">
        <v>15761</v>
      </c>
    </row>
    <row r="8323" spans="1:4" x14ac:dyDescent="0.25">
      <c r="A8323" t="str">
        <f>T("   210690")</f>
        <v xml:space="preserve">   210690</v>
      </c>
      <c r="B8323" t="str">
        <f>T("   Préparations alimentaires, n.d.a.")</f>
        <v xml:space="preserve">   Préparations alimentaires, n.d.a.</v>
      </c>
      <c r="C8323">
        <v>62003510</v>
      </c>
      <c r="D8323">
        <v>9235</v>
      </c>
    </row>
    <row r="8324" spans="1:4" x14ac:dyDescent="0.25">
      <c r="A8324" t="str">
        <f>T("   220210")</f>
        <v xml:space="preserve">   220210</v>
      </c>
      <c r="B8324" t="str">
        <f>T("   Eaux, y.c. les eaux minérales et les eaux gazéifiées, additionnées de sucre ou d'autres édulcorants ou aromatisées, directement consommables en l'état en tant que boissons")</f>
        <v xml:space="preserve">   Eaux, y.c. les eaux minérales et les eaux gazéifiées, additionnées de sucre ou d'autres édulcorants ou aromatisées, directement consommables en l'état en tant que boissons</v>
      </c>
      <c r="C8324">
        <v>34445141</v>
      </c>
      <c r="D8324">
        <v>31526</v>
      </c>
    </row>
    <row r="8325" spans="1:4" x14ac:dyDescent="0.25">
      <c r="A8325" t="str">
        <f>T("   220290")</f>
        <v xml:space="preserve">   220290</v>
      </c>
      <c r="B8325" t="str">
        <f>T("   BOISSONS NON-ALCOOLIQUES (À L'EXCL. DES EAUX, DES JUS DE FRUITS OU DE LÉGUMES AINSI QUE DU LAIT)")</f>
        <v xml:space="preserve">   BOISSONS NON-ALCOOLIQUES (À L'EXCL. DES EAUX, DES JUS DE FRUITS OU DE LÉGUMES AINSI QUE DU LAIT)</v>
      </c>
      <c r="C8325">
        <v>51832845</v>
      </c>
      <c r="D8325">
        <v>68285</v>
      </c>
    </row>
    <row r="8326" spans="1:4" x14ac:dyDescent="0.25">
      <c r="A8326" t="str">
        <f>T("   220300")</f>
        <v xml:space="preserve">   220300</v>
      </c>
      <c r="B8326" t="str">
        <f>T("   Bières de malt")</f>
        <v xml:space="preserve">   Bières de malt</v>
      </c>
      <c r="C8326">
        <v>366981886</v>
      </c>
      <c r="D8326">
        <v>939709</v>
      </c>
    </row>
    <row r="8327" spans="1:4" x14ac:dyDescent="0.25">
      <c r="A8327" t="str">
        <f>T("   220890")</f>
        <v xml:space="preserve">   220890</v>
      </c>
      <c r="B8327" t="s">
        <v>58</v>
      </c>
      <c r="C8327">
        <v>18740000</v>
      </c>
      <c r="D8327">
        <v>73125</v>
      </c>
    </row>
    <row r="8328" spans="1:4" x14ac:dyDescent="0.25">
      <c r="A8328" t="str">
        <f>T("   230990")</f>
        <v xml:space="preserve">   230990</v>
      </c>
      <c r="B8328" t="str">
        <f>T("   Préparations des types utilisés pour l'alimentation des animaux (à l'excl. des aliments pour chiens ou chats conditionnés pour la vente au détail)")</f>
        <v xml:space="preserve">   Préparations des types utilisés pour l'alimentation des animaux (à l'excl. des aliments pour chiens ou chats conditionnés pour la vente au détail)</v>
      </c>
      <c r="C8328">
        <v>6515729</v>
      </c>
      <c r="D8328">
        <v>40000</v>
      </c>
    </row>
    <row r="8329" spans="1:4" x14ac:dyDescent="0.25">
      <c r="A8329" t="str">
        <f>T("   250490")</f>
        <v xml:space="preserve">   250490</v>
      </c>
      <c r="B8329" t="str">
        <f>T("   Graphite naturel (autre qu'en poudre ou en paillettes)")</f>
        <v xml:space="preserve">   Graphite naturel (autre qu'en poudre ou en paillettes)</v>
      </c>
      <c r="C8329">
        <v>615061</v>
      </c>
      <c r="D8329">
        <v>1</v>
      </c>
    </row>
    <row r="8330" spans="1:4" x14ac:dyDescent="0.25">
      <c r="A8330" t="str">
        <f>T("   271011")</f>
        <v xml:space="preserve">   271011</v>
      </c>
      <c r="B8330" t="str">
        <f>T("   HUILES LÉGÈRES ET PRÉPARATIONS DE PÉTROLE OU DE MINÉRAUX BITUMINEUX DISTILLANT EN VOLUME, Y.C. LES PERTES, &gt;= 90% À 210°C, D'APRÈS LA MÉTHODE ASTM D 86")</f>
        <v xml:space="preserve">   HUILES LÉGÈRES ET PRÉPARATIONS DE PÉTROLE OU DE MINÉRAUX BITUMINEUX DISTILLANT EN VOLUME, Y.C. LES PERTES, &gt;= 90% À 210°C, D'APRÈS LA MÉTHODE ASTM D 86</v>
      </c>
      <c r="C8330">
        <v>280415147</v>
      </c>
      <c r="D8330">
        <v>760388</v>
      </c>
    </row>
    <row r="8331" spans="1:4" x14ac:dyDescent="0.25">
      <c r="A8331" t="str">
        <f>T("   271019")</f>
        <v xml:space="preserve">   271019</v>
      </c>
      <c r="B8331" t="str">
        <f>T("   Huiles moyennes et préparations, de pétrole ou de minéraux bitumineux, n.d.a.")</f>
        <v xml:space="preserve">   Huiles moyennes et préparations, de pétrole ou de minéraux bitumineux, n.d.a.</v>
      </c>
      <c r="C8331">
        <v>2208990961</v>
      </c>
      <c r="D8331">
        <v>6475945</v>
      </c>
    </row>
    <row r="8332" spans="1:4" x14ac:dyDescent="0.25">
      <c r="A8332" t="str">
        <f>T("   271220")</f>
        <v xml:space="preserve">   271220</v>
      </c>
      <c r="B8332" t="str">
        <f>T("   Paraffine contenant en poids &lt; 0,75% d'huile")</f>
        <v xml:space="preserve">   Paraffine contenant en poids &lt; 0,75% d'huile</v>
      </c>
      <c r="C8332">
        <v>246642</v>
      </c>
      <c r="D8332">
        <v>31</v>
      </c>
    </row>
    <row r="8333" spans="1:4" x14ac:dyDescent="0.25">
      <c r="A8333" t="str">
        <f>T("   281512")</f>
        <v xml:space="preserve">   281512</v>
      </c>
      <c r="B8333" t="str">
        <f>T("   Hydroxyde de sodium en solution aqueuse [lessive de soude caustique]")</f>
        <v xml:space="preserve">   Hydroxyde de sodium en solution aqueuse [lessive de soude caustique]</v>
      </c>
      <c r="C8333">
        <v>1049536</v>
      </c>
      <c r="D8333">
        <v>17</v>
      </c>
    </row>
    <row r="8334" spans="1:4" x14ac:dyDescent="0.25">
      <c r="A8334" t="str">
        <f>T("   281520")</f>
        <v xml:space="preserve">   281520</v>
      </c>
      <c r="B8334" t="str">
        <f>T("   Hydroxyde de potassium [potasse caustique]")</f>
        <v xml:space="preserve">   Hydroxyde de potassium [potasse caustique]</v>
      </c>
      <c r="C8334">
        <v>2722595</v>
      </c>
      <c r="D8334">
        <v>45</v>
      </c>
    </row>
    <row r="8335" spans="1:4" x14ac:dyDescent="0.25">
      <c r="A8335" t="str">
        <f>T("   283429")</f>
        <v xml:space="preserve">   283429</v>
      </c>
      <c r="B8335" t="str">
        <f>T("   NITRATES (AUTRES QUE DE POTASSIUM OU DE MERCURE)")</f>
        <v xml:space="preserve">   NITRATES (AUTRES QUE DE POTASSIUM OU DE MERCURE)</v>
      </c>
      <c r="C8335">
        <v>661273</v>
      </c>
      <c r="D8335">
        <v>11</v>
      </c>
    </row>
    <row r="8336" spans="1:4" x14ac:dyDescent="0.25">
      <c r="A8336" t="str">
        <f>T("   283524")</f>
        <v xml:space="preserve">   283524</v>
      </c>
      <c r="B8336" t="str">
        <f>T("   Phosphates de potassium")</f>
        <v xml:space="preserve">   Phosphates de potassium</v>
      </c>
      <c r="C8336">
        <v>794040</v>
      </c>
      <c r="D8336">
        <v>13</v>
      </c>
    </row>
    <row r="8337" spans="1:4" x14ac:dyDescent="0.25">
      <c r="A8337" t="str">
        <f>T("   290110")</f>
        <v xml:space="preserve">   290110</v>
      </c>
      <c r="B8337" t="str">
        <f>T("   Hydrocarbures acycliques, saturés")</f>
        <v xml:space="preserve">   Hydrocarbures acycliques, saturés</v>
      </c>
      <c r="C8337">
        <v>107140820</v>
      </c>
      <c r="D8337">
        <v>108320</v>
      </c>
    </row>
    <row r="8338" spans="1:4" x14ac:dyDescent="0.25">
      <c r="A8338" t="str">
        <f>T("   300490")</f>
        <v xml:space="preserve">   300490</v>
      </c>
      <c r="B8338" t="s">
        <v>78</v>
      </c>
      <c r="C8338">
        <v>149218421</v>
      </c>
      <c r="D8338">
        <v>8254</v>
      </c>
    </row>
    <row r="8339" spans="1:4" x14ac:dyDescent="0.25">
      <c r="A8339" t="str">
        <f>T("   300590")</f>
        <v xml:space="preserve">   300590</v>
      </c>
      <c r="B8339" t="s">
        <v>79</v>
      </c>
      <c r="C8339">
        <v>9903684</v>
      </c>
      <c r="D8339">
        <v>1225</v>
      </c>
    </row>
    <row r="8340" spans="1:4" x14ac:dyDescent="0.25">
      <c r="A8340" t="str">
        <f>T("   321590")</f>
        <v xml:space="preserve">   321590</v>
      </c>
      <c r="B8340" t="str">
        <f>T("   Encres à écrire et à dessiner, même concentrées ou sous formes solides")</f>
        <v xml:space="preserve">   Encres à écrire et à dessiner, même concentrées ou sous formes solides</v>
      </c>
      <c r="C8340">
        <v>688889</v>
      </c>
      <c r="D8340">
        <v>24</v>
      </c>
    </row>
    <row r="8341" spans="1:4" x14ac:dyDescent="0.25">
      <c r="A8341" t="str">
        <f>T("   330210")</f>
        <v xml:space="preserve">   330210</v>
      </c>
      <c r="B8341" t="str">
        <f>T("   Mélanges de substances odoriférantes et mélanges, y.c. les solutions alcooliques, à base d'une ou de plusieurs de ces substances, des types utilisés comme matières de base pour les industries des produits alimentaires et des boissons")</f>
        <v xml:space="preserve">   Mélanges de substances odoriférantes et mélanges, y.c. les solutions alcooliques, à base d'une ou de plusieurs de ces substances, des types utilisés comme matières de base pour les industries des produits alimentaires et des boissons</v>
      </c>
      <c r="C8341">
        <v>49873951</v>
      </c>
      <c r="D8341">
        <v>12650</v>
      </c>
    </row>
    <row r="8342" spans="1:4" x14ac:dyDescent="0.25">
      <c r="A8342" t="str">
        <f>T("   330410")</f>
        <v xml:space="preserve">   330410</v>
      </c>
      <c r="B8342" t="str">
        <f>T("   Produits de maquillage pour les lèvres")</f>
        <v xml:space="preserve">   Produits de maquillage pour les lèvres</v>
      </c>
      <c r="C8342">
        <v>3131763</v>
      </c>
      <c r="D8342">
        <v>938</v>
      </c>
    </row>
    <row r="8343" spans="1:4" x14ac:dyDescent="0.25">
      <c r="A8343" t="str">
        <f>T("   330491")</f>
        <v xml:space="preserve">   330491</v>
      </c>
      <c r="B8343" t="str">
        <f>T("   Poudres pour le maquillage ou l'entretien ou les soins de la peau, y.c. les poudres pour bébés et les poudres compactes (à l'excl. des médicaments)")</f>
        <v xml:space="preserve">   Poudres pour le maquillage ou l'entretien ou les soins de la peau, y.c. les poudres pour bébés et les poudres compactes (à l'excl. des médicaments)</v>
      </c>
      <c r="C8343">
        <v>1042976</v>
      </c>
      <c r="D8343">
        <v>376</v>
      </c>
    </row>
    <row r="8344" spans="1:4" x14ac:dyDescent="0.25">
      <c r="A8344" t="str">
        <f>T("   330499")</f>
        <v xml:space="preserve">   330499</v>
      </c>
      <c r="B8344" t="s">
        <v>100</v>
      </c>
      <c r="C8344">
        <v>16092312</v>
      </c>
      <c r="D8344">
        <v>4382</v>
      </c>
    </row>
    <row r="8345" spans="1:4" x14ac:dyDescent="0.25">
      <c r="A8345" t="str">
        <f>T("   330530")</f>
        <v xml:space="preserve">   330530</v>
      </c>
      <c r="B8345" t="str">
        <f>T("   Laques pour cheveux")</f>
        <v xml:space="preserve">   Laques pour cheveux</v>
      </c>
      <c r="C8345">
        <v>155069</v>
      </c>
      <c r="D8345">
        <v>47</v>
      </c>
    </row>
    <row r="8346" spans="1:4" x14ac:dyDescent="0.25">
      <c r="A8346" t="str">
        <f>T("   330590")</f>
        <v xml:space="preserve">   330590</v>
      </c>
      <c r="B8346" t="str">
        <f>T("   PRÉPARATIONS CAPILLAIRES (À L'EXCL. DES SHAMPOOINGS, DES LAQUES POUR CHEVEUX ET DES PRÉPARATIONS POUR L'ONDULATION OU LE DÉFRISAGE PERMANENTS)")</f>
        <v xml:space="preserve">   PRÉPARATIONS CAPILLAIRES (À L'EXCL. DES SHAMPOOINGS, DES LAQUES POUR CHEVEUX ET DES PRÉPARATIONS POUR L'ONDULATION OU LE DÉFRISAGE PERMANENTS)</v>
      </c>
      <c r="C8346">
        <v>201708</v>
      </c>
      <c r="D8346">
        <v>61</v>
      </c>
    </row>
    <row r="8347" spans="1:4" x14ac:dyDescent="0.25">
      <c r="A8347" t="str">
        <f>T("   330610")</f>
        <v xml:space="preserve">   330610</v>
      </c>
      <c r="B8347" t="str">
        <f>T("   Dentifrices, préparés, même des types utilisés par les dentistes")</f>
        <v xml:space="preserve">   Dentifrices, préparés, même des types utilisés par les dentistes</v>
      </c>
      <c r="C8347">
        <v>13988662</v>
      </c>
      <c r="D8347">
        <v>3211</v>
      </c>
    </row>
    <row r="8348" spans="1:4" x14ac:dyDescent="0.25">
      <c r="A8348" t="str">
        <f>T("   330710")</f>
        <v xml:space="preserve">   330710</v>
      </c>
      <c r="B8348" t="str">
        <f>T("   Préparations pour le prérasage, le rasage ou l'après-rasage")</f>
        <v xml:space="preserve">   Préparations pour le prérasage, le rasage ou l'après-rasage</v>
      </c>
      <c r="C8348">
        <v>25740</v>
      </c>
      <c r="D8348">
        <v>9</v>
      </c>
    </row>
    <row r="8349" spans="1:4" x14ac:dyDescent="0.25">
      <c r="A8349" t="str">
        <f>T("   330720")</f>
        <v xml:space="preserve">   330720</v>
      </c>
      <c r="B8349" t="str">
        <f>T("   Désodorisants corporels et antisudoraux, préparés")</f>
        <v xml:space="preserve">   Désodorisants corporels et antisudoraux, préparés</v>
      </c>
      <c r="C8349">
        <v>3443003</v>
      </c>
      <c r="D8349">
        <v>1190</v>
      </c>
    </row>
    <row r="8350" spans="1:4" x14ac:dyDescent="0.25">
      <c r="A8350" t="str">
        <f>T("   330749")</f>
        <v xml:space="preserve">   330749</v>
      </c>
      <c r="B8350" t="str">
        <f>T("   Préparations pour parfumer ou pour désodoriser les locaux, y.c. les préparations odoriférantes pour cérémonies religieuses (à l'excl. de l'agarbatti et des autres préparations odoriférantes agissant par combustion)")</f>
        <v xml:space="preserve">   Préparations pour parfumer ou pour désodoriser les locaux, y.c. les préparations odoriférantes pour cérémonies religieuses (à l'excl. de l'agarbatti et des autres préparations odoriférantes agissant par combustion)</v>
      </c>
      <c r="C8350">
        <v>5396583</v>
      </c>
      <c r="D8350">
        <v>1721</v>
      </c>
    </row>
    <row r="8351" spans="1:4" x14ac:dyDescent="0.25">
      <c r="A8351" t="str">
        <f>T("   340219")</f>
        <v xml:space="preserve">   340219</v>
      </c>
      <c r="B8351" t="str">
        <f>T("   Agents de surface organiques, même conditionnés pour la vente au détail (à l'excl. des savons et des agents de surface anioniques, cationiques ou non ioniques)")</f>
        <v xml:space="preserve">   Agents de surface organiques, même conditionnés pour la vente au détail (à l'excl. des savons et des agents de surface anioniques, cationiques ou non ioniques)</v>
      </c>
      <c r="C8351">
        <v>1362292</v>
      </c>
      <c r="D8351">
        <v>123.5</v>
      </c>
    </row>
    <row r="8352" spans="1:4" x14ac:dyDescent="0.25">
      <c r="A8352" t="str">
        <f>T("   340290")</f>
        <v xml:space="preserve">   340290</v>
      </c>
      <c r="B8352" t="s">
        <v>104</v>
      </c>
      <c r="C8352">
        <v>645917</v>
      </c>
      <c r="D8352">
        <v>667</v>
      </c>
    </row>
    <row r="8353" spans="1:4" x14ac:dyDescent="0.25">
      <c r="A8353" t="str">
        <f>T("   340319")</f>
        <v xml:space="preserve">   340319</v>
      </c>
      <c r="B8353" t="s">
        <v>105</v>
      </c>
      <c r="C8353">
        <v>924904</v>
      </c>
      <c r="D8353">
        <v>76</v>
      </c>
    </row>
    <row r="8354" spans="1:4" x14ac:dyDescent="0.25">
      <c r="A8354" t="str">
        <f>T("   340510")</f>
        <v xml:space="preserve">   340510</v>
      </c>
      <c r="B8354" t="s">
        <v>108</v>
      </c>
      <c r="C8354">
        <v>1084302</v>
      </c>
      <c r="D8354">
        <v>345</v>
      </c>
    </row>
    <row r="8355" spans="1:4" x14ac:dyDescent="0.25">
      <c r="A8355" t="str">
        <f>T("   340520")</f>
        <v xml:space="preserve">   340520</v>
      </c>
      <c r="B8355" t="s">
        <v>109</v>
      </c>
      <c r="C8355">
        <v>181045</v>
      </c>
      <c r="D8355">
        <v>58</v>
      </c>
    </row>
    <row r="8356" spans="1:4" x14ac:dyDescent="0.25">
      <c r="A8356" t="str">
        <f>T("   350520")</f>
        <v xml:space="preserve">   350520</v>
      </c>
      <c r="B8356" t="str">
        <f>T("   Colles à base d'amidons ou de fécules, de dextrine ou d'autres amidons ou fécules modifiés (à l'excl. des produits conditionnés pour la vente au détail comme colles et d'un poids net &lt;= 1 kg)")</f>
        <v xml:space="preserve">   Colles à base d'amidons ou de fécules, de dextrine ou d'autres amidons ou fécules modifiés (à l'excl. des produits conditionnés pour la vente au détail comme colles et d'un poids net &lt;= 1 kg)</v>
      </c>
      <c r="C8356">
        <v>14097387</v>
      </c>
      <c r="D8356">
        <v>17636</v>
      </c>
    </row>
    <row r="8357" spans="1:4" x14ac:dyDescent="0.25">
      <c r="A8357" t="str">
        <f>T("   350691")</f>
        <v xml:space="preserve">   350691</v>
      </c>
      <c r="B8357" t="str">
        <f>T("   Adhésifs à base de polymères du n° 3901 à 3913 ou de caoutchouc (à l'excl. des produits conditionnés pour la vente au détail comme colles ou adhésifs, d'un poids net &lt;= 1 kg)")</f>
        <v xml:space="preserve">   Adhésifs à base de polymères du n° 3901 à 3913 ou de caoutchouc (à l'excl. des produits conditionnés pour la vente au détail comme colles ou adhésifs, d'un poids net &lt;= 1 kg)</v>
      </c>
      <c r="C8357">
        <v>280751</v>
      </c>
      <c r="D8357">
        <v>7</v>
      </c>
    </row>
    <row r="8358" spans="1:4" x14ac:dyDescent="0.25">
      <c r="A8358" t="str">
        <f>T("   350699")</f>
        <v xml:space="preserve">   350699</v>
      </c>
      <c r="B8358" t="str">
        <f>T("   Colles et autres adhésifs préparés, n.d.a.")</f>
        <v xml:space="preserve">   Colles et autres adhésifs préparés, n.d.a.</v>
      </c>
      <c r="C8358">
        <v>32457</v>
      </c>
      <c r="D8358">
        <v>1</v>
      </c>
    </row>
    <row r="8359" spans="1:4" x14ac:dyDescent="0.25">
      <c r="A8359" t="str">
        <f>T("   380810")</f>
        <v xml:space="preserve">   380810</v>
      </c>
      <c r="B8359" t="str">
        <f>T("   Insecticides présentés dans des formes ou emballages de vente au détail ou à l'état de préparations ou sous forme d'articles")</f>
        <v xml:space="preserve">   Insecticides présentés dans des formes ou emballages de vente au détail ou à l'état de préparations ou sous forme d'articles</v>
      </c>
      <c r="C8359">
        <v>6244084</v>
      </c>
      <c r="D8359">
        <v>1991</v>
      </c>
    </row>
    <row r="8360" spans="1:4" x14ac:dyDescent="0.25">
      <c r="A8360" t="str">
        <f>T("   380840")</f>
        <v xml:space="preserve">   380840</v>
      </c>
      <c r="B8360" t="str">
        <f>T("   Désinfectants et produits simil., présentés dans des formes ou emballages de vente au détail ou à l'état de préparations ou sous forme d'articles")</f>
        <v xml:space="preserve">   Désinfectants et produits simil., présentés dans des formes ou emballages de vente au détail ou à l'état de préparations ou sous forme d'articles</v>
      </c>
      <c r="C8360">
        <v>3935760</v>
      </c>
      <c r="D8360">
        <v>1255</v>
      </c>
    </row>
    <row r="8361" spans="1:4" x14ac:dyDescent="0.25">
      <c r="A8361" t="str">
        <f>T("   380890")</f>
        <v xml:space="preserve">   380890</v>
      </c>
      <c r="B8361" t="str">
        <f>T("   Antirongeurs et autres produits phytosanitaires, présentés dans des formes ou emballages de vente au détail ou à l'état de préparations ou sous forme d'articles (à l'excl. des insecticides, des fongicides, des herbicides et des désinfectants)")</f>
        <v xml:space="preserve">   Antirongeurs et autres produits phytosanitaires, présentés dans des formes ou emballages de vente au détail ou à l'état de préparations ou sous forme d'articles (à l'excl. des insecticides, des fongicides, des herbicides et des désinfectants)</v>
      </c>
      <c r="C8361">
        <v>209277</v>
      </c>
      <c r="D8361">
        <v>125</v>
      </c>
    </row>
    <row r="8362" spans="1:4" x14ac:dyDescent="0.25">
      <c r="A8362" t="str">
        <f>T("   381900")</f>
        <v xml:space="preserve">   381900</v>
      </c>
      <c r="B8362" t="str">
        <f>T("   Liquides pour freins hydrauliques et autres liquides préparés pour transmissions hydrauliques, ne contenant ni huiles de pétrole ni huiles de minéraux bitumineux ou en contenant &lt; 70% en poids")</f>
        <v xml:space="preserve">   Liquides pour freins hydrauliques et autres liquides préparés pour transmissions hydrauliques, ne contenant ni huiles de pétrole ni huiles de minéraux bitumineux ou en contenant &lt; 70% en poids</v>
      </c>
      <c r="C8362">
        <v>1281746</v>
      </c>
      <c r="D8362">
        <v>105</v>
      </c>
    </row>
    <row r="8363" spans="1:4" x14ac:dyDescent="0.25">
      <c r="A8363" t="str">
        <f>T("   382200")</f>
        <v xml:space="preserve">   382200</v>
      </c>
      <c r="B8363" t="s">
        <v>125</v>
      </c>
      <c r="C8363">
        <v>99231005</v>
      </c>
      <c r="D8363">
        <v>720</v>
      </c>
    </row>
    <row r="8364" spans="1:4" x14ac:dyDescent="0.25">
      <c r="A8364" t="str">
        <f>T("   382490")</f>
        <v xml:space="preserve">   382490</v>
      </c>
      <c r="B8364" t="str">
        <f>T("   Produits chimiques et préparations des industries chimiques ou des industries connexes, y.c. celles consistant en mélanges de produits naturels, n.d.a.")</f>
        <v xml:space="preserve">   Produits chimiques et préparations des industries chimiques ou des industries connexes, y.c. celles consistant en mélanges de produits naturels, n.d.a.</v>
      </c>
      <c r="C8364">
        <v>43800417</v>
      </c>
      <c r="D8364">
        <v>3465</v>
      </c>
    </row>
    <row r="8365" spans="1:4" x14ac:dyDescent="0.25">
      <c r="A8365" t="str">
        <f>T("   391400")</f>
        <v xml:space="preserve">   391400</v>
      </c>
      <c r="B8365" t="str">
        <f>T("   Echangeurs d'ions à base de polymères du n° 3901 à 3913, sous formes primaires")</f>
        <v xml:space="preserve">   Echangeurs d'ions à base de polymères du n° 3901 à 3913, sous formes primaires</v>
      </c>
      <c r="C8365">
        <v>1168396</v>
      </c>
      <c r="D8365">
        <v>650</v>
      </c>
    </row>
    <row r="8366" spans="1:4" x14ac:dyDescent="0.25">
      <c r="A8366" t="str">
        <f>T("   391733")</f>
        <v xml:space="preserve">   391733</v>
      </c>
      <c r="B8366" t="str">
        <f>T("   Tubes et tuyaux souples, en matières plastiques, non renforcés d'autres matières ni autrement associés à d'autres matières, munis d'accessoires")</f>
        <v xml:space="preserve">   Tubes et tuyaux souples, en matières plastiques, non renforcés d'autres matières ni autrement associés à d'autres matières, munis d'accessoires</v>
      </c>
      <c r="C8366">
        <v>153232</v>
      </c>
      <c r="D8366">
        <v>39</v>
      </c>
    </row>
    <row r="8367" spans="1:4" x14ac:dyDescent="0.25">
      <c r="A8367" t="str">
        <f>T("   392190")</f>
        <v xml:space="preserve">   392190</v>
      </c>
      <c r="B8367" t="s">
        <v>143</v>
      </c>
      <c r="C8367">
        <v>1183745</v>
      </c>
      <c r="D8367">
        <v>6.9</v>
      </c>
    </row>
    <row r="8368" spans="1:4" x14ac:dyDescent="0.25">
      <c r="A8368" t="str">
        <f>T("   392321")</f>
        <v xml:space="preserve">   392321</v>
      </c>
      <c r="B8368" t="str">
        <f>T("   Sacs, sachets, pochettes et cornets, en polymères de l'éthylène")</f>
        <v xml:space="preserve">   Sacs, sachets, pochettes et cornets, en polymères de l'éthylène</v>
      </c>
      <c r="C8368">
        <v>18481751</v>
      </c>
      <c r="D8368">
        <v>5152</v>
      </c>
    </row>
    <row r="8369" spans="1:4" x14ac:dyDescent="0.25">
      <c r="A8369" t="str">
        <f>T("   392329")</f>
        <v xml:space="preserve">   392329</v>
      </c>
      <c r="B8369" t="str">
        <f>T("   Sacs, sachets, pochettes et cornets, en matières plastiques (autres que les polymères de l'éthylène)")</f>
        <v xml:space="preserve">   Sacs, sachets, pochettes et cornets, en matières plastiques (autres que les polymères de l'éthylène)</v>
      </c>
      <c r="C8369">
        <v>10637620</v>
      </c>
      <c r="D8369">
        <v>4469</v>
      </c>
    </row>
    <row r="8370" spans="1:4" x14ac:dyDescent="0.25">
      <c r="A8370" t="str">
        <f>T("   392330")</f>
        <v xml:space="preserve">   392330</v>
      </c>
      <c r="B8370" t="str">
        <f>T("   Bonbonnes, bouteilles, flacons et articles simil. pour le transport ou l'emballage, en matières plastiques")</f>
        <v xml:space="preserve">   Bonbonnes, bouteilles, flacons et articles simil. pour le transport ou l'emballage, en matières plastiques</v>
      </c>
      <c r="C8370">
        <v>4895771</v>
      </c>
      <c r="D8370">
        <v>9667</v>
      </c>
    </row>
    <row r="8371" spans="1:4" x14ac:dyDescent="0.25">
      <c r="A8371" t="str">
        <f>T("   392390")</f>
        <v xml:space="preserve">   392390</v>
      </c>
      <c r="B8371" t="s">
        <v>144</v>
      </c>
      <c r="C8371">
        <v>16589</v>
      </c>
      <c r="D8371">
        <v>6</v>
      </c>
    </row>
    <row r="8372" spans="1:4" x14ac:dyDescent="0.25">
      <c r="A8372" t="str">
        <f>T("   400912")</f>
        <v xml:space="preserve">   400912</v>
      </c>
      <c r="B8372" t="str">
        <f>T("   TUBES ET TUYAUX EN CAOUTCHOUC VULCANISÉ NON DURCI, NON RENFORCÉS À L'AIDE D'AUTRES MATIÈRES NI AUTREMENT ASSOCIÉS À D'AUTRES MATIÈRES, AVEC ACCESSOIRES [JOINTS, COUDES, RACCORDS, PAR EXEMPLE]")</f>
        <v xml:space="preserve">   TUBES ET TUYAUX EN CAOUTCHOUC VULCANISÉ NON DURCI, NON RENFORCÉS À L'AIDE D'AUTRES MATIÈRES NI AUTREMENT ASSOCIÉS À D'AUTRES MATIÈRES, AVEC ACCESSOIRES [JOINTS, COUDES, RACCORDS, PAR EXEMPLE]</v>
      </c>
      <c r="C8372">
        <v>628062</v>
      </c>
      <c r="D8372">
        <v>52</v>
      </c>
    </row>
    <row r="8373" spans="1:4" x14ac:dyDescent="0.25">
      <c r="A8373" t="str">
        <f>T("   400932")</f>
        <v xml:space="preserve">   400932</v>
      </c>
      <c r="B8373" t="str">
        <f>T("   TUBES ET TUYAUX EN CAOUTCHOUC VULCANISÉ NON DURCI, RENFORCÉS SEULEMENT À L'AIDE DE MATIÈRES TEXTILES OU AUTREMENT ASSOCIÉS SEULEMENT À DES MATIÈRES TEXTILES, AVEC ACCESSOIRES [JOINTS, COUDES, RACCORDS, PAR EXEMPLE]")</f>
        <v xml:space="preserve">   TUBES ET TUYAUX EN CAOUTCHOUC VULCANISÉ NON DURCI, RENFORCÉS SEULEMENT À L'AIDE DE MATIÈRES TEXTILES OU AUTREMENT ASSOCIÉS SEULEMENT À DES MATIÈRES TEXTILES, AVEC ACCESSOIRES [JOINTS, COUDES, RACCORDS, PAR EXEMPLE]</v>
      </c>
      <c r="C8373">
        <v>682933</v>
      </c>
      <c r="D8373">
        <v>37</v>
      </c>
    </row>
    <row r="8374" spans="1:4" x14ac:dyDescent="0.25">
      <c r="A8374" t="str">
        <f>T("   400942")</f>
        <v xml:space="preserve">   400942</v>
      </c>
      <c r="B8374" t="s">
        <v>153</v>
      </c>
      <c r="C8374">
        <v>525562</v>
      </c>
      <c r="D8374">
        <v>30</v>
      </c>
    </row>
    <row r="8375" spans="1:4" x14ac:dyDescent="0.25">
      <c r="A8375" t="str">
        <f>T("   401193")</f>
        <v xml:space="preserve">   401193</v>
      </c>
      <c r="B8375" t="str">
        <f>T("   Pneumatiques neufs, en caoutchouc, des types utilisés pour les véhicules et engins de génie civil et de manutention industrielle, pour jantes d'un diamètre &lt;= 61 cm (à l'excl. des pneumatiques à crampons, à chevrons ou simil.)")</f>
        <v xml:space="preserve">   Pneumatiques neufs, en caoutchouc, des types utilisés pour les véhicules et engins de génie civil et de manutention industrielle, pour jantes d'un diamètre &lt;= 61 cm (à l'excl. des pneumatiques à crampons, à chevrons ou simil.)</v>
      </c>
      <c r="C8375">
        <v>52411204</v>
      </c>
      <c r="D8375">
        <v>13642</v>
      </c>
    </row>
    <row r="8376" spans="1:4" x14ac:dyDescent="0.25">
      <c r="A8376" t="str">
        <f>T("   401199")</f>
        <v xml:space="preserve">   401199</v>
      </c>
      <c r="B8376" t="s">
        <v>155</v>
      </c>
      <c r="C8376">
        <v>35178151</v>
      </c>
      <c r="D8376">
        <v>14134</v>
      </c>
    </row>
    <row r="8377" spans="1:4" x14ac:dyDescent="0.25">
      <c r="A8377" t="str">
        <f>T("   401220")</f>
        <v xml:space="preserve">   401220</v>
      </c>
      <c r="B8377" t="str">
        <f>T("   Pneumatiques usagés, en caoutchouc")</f>
        <v xml:space="preserve">   Pneumatiques usagés, en caoutchouc</v>
      </c>
      <c r="C8377">
        <v>20709360</v>
      </c>
      <c r="D8377">
        <v>45000</v>
      </c>
    </row>
    <row r="8378" spans="1:4" x14ac:dyDescent="0.25">
      <c r="A8378" t="str">
        <f>T("   401310")</f>
        <v xml:space="preserve">   401310</v>
      </c>
      <c r="B8378" t="str">
        <f>T("   Chambres à air, en caoutchouc, des types utilisés pour les voitures de tourisme [y.c. les voitures du type 'break' et les voitures de course], les autobus ou les camions")</f>
        <v xml:space="preserve">   Chambres à air, en caoutchouc, des types utilisés pour les voitures de tourisme [y.c. les voitures du type 'break' et les voitures de course], les autobus ou les camions</v>
      </c>
      <c r="C8378">
        <v>263696</v>
      </c>
      <c r="D8378">
        <v>1500</v>
      </c>
    </row>
    <row r="8379" spans="1:4" x14ac:dyDescent="0.25">
      <c r="A8379" t="str">
        <f>T("   401511")</f>
        <v xml:space="preserve">   401511</v>
      </c>
      <c r="B8379" t="str">
        <f>T("   Gants en caoutchouc vulcanisé non durci, pour la chirurgie")</f>
        <v xml:space="preserve">   Gants en caoutchouc vulcanisé non durci, pour la chirurgie</v>
      </c>
      <c r="C8379">
        <v>6015153</v>
      </c>
      <c r="D8379">
        <v>749</v>
      </c>
    </row>
    <row r="8380" spans="1:4" x14ac:dyDescent="0.25">
      <c r="A8380" t="str">
        <f>T("   401519")</f>
        <v xml:space="preserve">   401519</v>
      </c>
      <c r="B8380" t="str">
        <f>T("   GANTS, MITAINES ET MOUFLES, EN CAOUTCHOUC VULCANISÉ NON-DURCI (À L'EXCL. DES GANTS POUR LA CHIRURGIE)")</f>
        <v xml:space="preserve">   GANTS, MITAINES ET MOUFLES, EN CAOUTCHOUC VULCANISÉ NON-DURCI (À L'EXCL. DES GANTS POUR LA CHIRURGIE)</v>
      </c>
      <c r="C8380">
        <v>1093066</v>
      </c>
      <c r="D8380">
        <v>92</v>
      </c>
    </row>
    <row r="8381" spans="1:4" x14ac:dyDescent="0.25">
      <c r="A8381" t="str">
        <f>T("   401693")</f>
        <v xml:space="preserve">   401693</v>
      </c>
      <c r="B8381" t="str">
        <f>T("   Joints en caoutchouc vulcanisé non durci (à l'excl. des articles en caoutchouc alvéolaire)")</f>
        <v xml:space="preserve">   Joints en caoutchouc vulcanisé non durci (à l'excl. des articles en caoutchouc alvéolaire)</v>
      </c>
      <c r="C8381">
        <v>15865862</v>
      </c>
      <c r="D8381">
        <v>431</v>
      </c>
    </row>
    <row r="8382" spans="1:4" x14ac:dyDescent="0.25">
      <c r="A8382" t="str">
        <f>T("   401695")</f>
        <v xml:space="preserve">   401695</v>
      </c>
      <c r="B8382" t="s">
        <v>157</v>
      </c>
      <c r="C8382">
        <v>7531</v>
      </c>
      <c r="D8382">
        <v>3</v>
      </c>
    </row>
    <row r="8383" spans="1:4" x14ac:dyDescent="0.25">
      <c r="A8383" t="str">
        <f>T("   401699")</f>
        <v xml:space="preserve">   401699</v>
      </c>
      <c r="B8383" t="str">
        <f>T("   OUVRAGES EN CAOUTCHOUC VULCANISÉ NON-DURCI, N.D.A.")</f>
        <v xml:space="preserve">   OUVRAGES EN CAOUTCHOUC VULCANISÉ NON-DURCI, N.D.A.</v>
      </c>
      <c r="C8383">
        <v>43484</v>
      </c>
      <c r="D8383">
        <v>26</v>
      </c>
    </row>
    <row r="8384" spans="1:4" x14ac:dyDescent="0.25">
      <c r="A8384" t="str">
        <f>T("   420221")</f>
        <v xml:space="preserve">   420221</v>
      </c>
      <c r="B8384" t="str">
        <f>T("   Sacs à main, même à bandoulière, y.c. ceux sans poignée, à surface extérieure en cuir naturel, en cuir reconstitué ou en cuir verni")</f>
        <v xml:space="preserve">   Sacs à main, même à bandoulière, y.c. ceux sans poignée, à surface extérieure en cuir naturel, en cuir reconstitué ou en cuir verni</v>
      </c>
      <c r="C8384">
        <v>1064787</v>
      </c>
      <c r="D8384">
        <v>6</v>
      </c>
    </row>
    <row r="8385" spans="1:4" x14ac:dyDescent="0.25">
      <c r="A8385" t="str">
        <f>T("   420222")</f>
        <v xml:space="preserve">   420222</v>
      </c>
      <c r="B8385" t="str">
        <f>T("   Sacs à main, même à bandoulière, y.c. ceux sans poignée, à surface extérieure en feuilles de matières plastiques ou en matières textiles")</f>
        <v xml:space="preserve">   Sacs à main, même à bandoulière, y.c. ceux sans poignée, à surface extérieure en feuilles de matières plastiques ou en matières textiles</v>
      </c>
      <c r="C8385">
        <v>3046456</v>
      </c>
      <c r="D8385">
        <v>15</v>
      </c>
    </row>
    <row r="8386" spans="1:4" x14ac:dyDescent="0.25">
      <c r="A8386" t="str">
        <f>T("   420229")</f>
        <v xml:space="preserve">   420229</v>
      </c>
      <c r="B8386" t="str">
        <f>T("   Sacs à main, même à bandoulière, y.c. ceux sans poignée, à surface extérieure en fibre vulcanisée ou en carton, ou recouverts, en totalité ou en majeure partie, de ces mêmes matières ou de papier")</f>
        <v xml:space="preserve">   Sacs à main, même à bandoulière, y.c. ceux sans poignée, à surface extérieure en fibre vulcanisée ou en carton, ou recouverts, en totalité ou en majeure partie, de ces mêmes matières ou de papier</v>
      </c>
      <c r="C8386">
        <v>1161416</v>
      </c>
      <c r="D8386">
        <v>1622</v>
      </c>
    </row>
    <row r="8387" spans="1:4" x14ac:dyDescent="0.25">
      <c r="A8387" t="str">
        <f>T("   420291")</f>
        <v xml:space="preserve">   420291</v>
      </c>
      <c r="B8387" t="s">
        <v>163</v>
      </c>
      <c r="C8387">
        <v>5618327</v>
      </c>
      <c r="D8387">
        <v>73.099999999999994</v>
      </c>
    </row>
    <row r="8388" spans="1:4" x14ac:dyDescent="0.25">
      <c r="A8388" t="str">
        <f>T("   420292")</f>
        <v xml:space="preserve">   420292</v>
      </c>
      <c r="B8388" t="s">
        <v>163</v>
      </c>
      <c r="C8388">
        <v>374553</v>
      </c>
      <c r="D8388">
        <v>287</v>
      </c>
    </row>
    <row r="8389" spans="1:4" x14ac:dyDescent="0.25">
      <c r="A8389" t="str">
        <f>T("   420299")</f>
        <v xml:space="preserve">   420299</v>
      </c>
      <c r="B8389" t="s">
        <v>164</v>
      </c>
      <c r="C8389">
        <v>375011</v>
      </c>
      <c r="D8389">
        <v>345</v>
      </c>
    </row>
    <row r="8390" spans="1:4" x14ac:dyDescent="0.25">
      <c r="A8390" t="str">
        <f>T("   420330")</f>
        <v xml:space="preserve">   420330</v>
      </c>
      <c r="B8390" t="str">
        <f>T("   Ceintures, ceinturons et baudriers, en cuir naturel ou reconstitué")</f>
        <v xml:space="preserve">   Ceintures, ceinturons et baudriers, en cuir naturel ou reconstitué</v>
      </c>
      <c r="C8390">
        <v>175797</v>
      </c>
      <c r="D8390">
        <v>250</v>
      </c>
    </row>
    <row r="8391" spans="1:4" x14ac:dyDescent="0.25">
      <c r="A8391" t="str">
        <f>T("   480255")</f>
        <v xml:space="preserve">   480255</v>
      </c>
      <c r="B8391" t="s">
        <v>189</v>
      </c>
      <c r="C8391">
        <v>32419080</v>
      </c>
      <c r="D8391">
        <v>22165</v>
      </c>
    </row>
    <row r="8392" spans="1:4" x14ac:dyDescent="0.25">
      <c r="A8392" t="str">
        <f>T("   480256")</f>
        <v xml:space="preserve">   480256</v>
      </c>
      <c r="B8392" t="s">
        <v>190</v>
      </c>
      <c r="C8392">
        <v>10219893</v>
      </c>
      <c r="D8392">
        <v>33280</v>
      </c>
    </row>
    <row r="8393" spans="1:4" x14ac:dyDescent="0.25">
      <c r="A8393" t="str">
        <f>T("   480257")</f>
        <v xml:space="preserve">   480257</v>
      </c>
      <c r="B8393" t="s">
        <v>191</v>
      </c>
      <c r="C8393">
        <v>47218293</v>
      </c>
      <c r="D8393">
        <v>99383</v>
      </c>
    </row>
    <row r="8394" spans="1:4" x14ac:dyDescent="0.25">
      <c r="A8394" t="str">
        <f>T("   481029")</f>
        <v xml:space="preserve">   481029</v>
      </c>
      <c r="B8394" t="s">
        <v>205</v>
      </c>
      <c r="C8394">
        <v>34476215</v>
      </c>
      <c r="D8394">
        <v>86822</v>
      </c>
    </row>
    <row r="8395" spans="1:4" x14ac:dyDescent="0.25">
      <c r="A8395" t="str">
        <f>T("   481620")</f>
        <v xml:space="preserve">   481620</v>
      </c>
      <c r="B8395" t="s">
        <v>212</v>
      </c>
      <c r="C8395">
        <v>15718552</v>
      </c>
      <c r="D8395">
        <v>30022</v>
      </c>
    </row>
    <row r="8396" spans="1:4" x14ac:dyDescent="0.25">
      <c r="A8396" t="str">
        <f>T("   481810")</f>
        <v xml:space="preserve">   481810</v>
      </c>
      <c r="B8396" t="str">
        <f>T("   Papier hygiénique, en rouleaux d'une largeur &lt;= 36 cm")</f>
        <v xml:space="preserve">   Papier hygiénique, en rouleaux d'une largeur &lt;= 36 cm</v>
      </c>
      <c r="C8396">
        <v>1550611</v>
      </c>
      <c r="D8396">
        <v>1638</v>
      </c>
    </row>
    <row r="8397" spans="1:4" x14ac:dyDescent="0.25">
      <c r="A8397" t="str">
        <f>T("   481910")</f>
        <v xml:space="preserve">   481910</v>
      </c>
      <c r="B8397" t="str">
        <f>T("   Boîtes et caisses en papier ou en carton ondulé")</f>
        <v xml:space="preserve">   Boîtes et caisses en papier ou en carton ondulé</v>
      </c>
      <c r="C8397">
        <v>5887241</v>
      </c>
      <c r="D8397">
        <v>19140</v>
      </c>
    </row>
    <row r="8398" spans="1:4" x14ac:dyDescent="0.25">
      <c r="A8398" t="str">
        <f>T("   481920")</f>
        <v xml:space="preserve">   481920</v>
      </c>
      <c r="B8398" t="str">
        <f>T("   Boîtes et cartonnages, pliants, en papier ou en carton non ondulé")</f>
        <v xml:space="preserve">   Boîtes et cartonnages, pliants, en papier ou en carton non ondulé</v>
      </c>
      <c r="C8398">
        <v>4269508</v>
      </c>
      <c r="D8398">
        <v>548.08000000000004</v>
      </c>
    </row>
    <row r="8399" spans="1:4" x14ac:dyDescent="0.25">
      <c r="A8399" t="str">
        <f>T("   481940")</f>
        <v xml:space="preserve">   481940</v>
      </c>
      <c r="B8399" t="str">
        <f>T("   Sacs, sachets, pochettes et cornets, en papier, carton, ouate de cellulose ou nappes de fibres de cellulose (à l'excl. des pochettes pour disques et des sacs d'une largeur à la base &gt;= 40 cm)")</f>
        <v xml:space="preserve">   Sacs, sachets, pochettes et cornets, en papier, carton, ouate de cellulose ou nappes de fibres de cellulose (à l'excl. des pochettes pour disques et des sacs d'une largeur à la base &gt;= 40 cm)</v>
      </c>
      <c r="C8399">
        <v>1200130</v>
      </c>
      <c r="D8399">
        <v>527</v>
      </c>
    </row>
    <row r="8400" spans="1:4" x14ac:dyDescent="0.25">
      <c r="A8400" t="str">
        <f>T("   481950")</f>
        <v xml:space="preserve">   481950</v>
      </c>
      <c r="B8400" t="s">
        <v>216</v>
      </c>
      <c r="C8400">
        <v>709673</v>
      </c>
      <c r="D8400">
        <v>380.2</v>
      </c>
    </row>
    <row r="8401" spans="1:4" x14ac:dyDescent="0.25">
      <c r="A8401" t="str">
        <f>T("   482010")</f>
        <v xml:space="preserve">   482010</v>
      </c>
      <c r="B8401" t="str">
        <f>T("   Registres, livres comptables, carnets de notes, de commandes ou de quittances, blocs-mémorandums, blocs de papier à lettres, agendas et ouvrages simil., en papier ou carton")</f>
        <v xml:space="preserve">   Registres, livres comptables, carnets de notes, de commandes ou de quittances, blocs-mémorandums, blocs de papier à lettres, agendas et ouvrages simil., en papier ou carton</v>
      </c>
      <c r="C8401">
        <v>218251</v>
      </c>
      <c r="D8401">
        <v>168</v>
      </c>
    </row>
    <row r="8402" spans="1:4" x14ac:dyDescent="0.25">
      <c r="A8402" t="str">
        <f>T("   482390")</f>
        <v xml:space="preserve">   482390</v>
      </c>
      <c r="B8402" t="s">
        <v>218</v>
      </c>
      <c r="C8402">
        <v>2624</v>
      </c>
      <c r="D8402">
        <v>12</v>
      </c>
    </row>
    <row r="8403" spans="1:4" x14ac:dyDescent="0.25">
      <c r="A8403" t="str">
        <f>T("   490199")</f>
        <v xml:space="preserve">   490199</v>
      </c>
      <c r="B8403"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8403">
        <v>451086</v>
      </c>
      <c r="D8403">
        <v>143.27000000000001</v>
      </c>
    </row>
    <row r="8404" spans="1:4" x14ac:dyDescent="0.25">
      <c r="A8404" t="str">
        <f>T("   490700")</f>
        <v xml:space="preserve">   490700</v>
      </c>
      <c r="B8404" t="s">
        <v>220</v>
      </c>
      <c r="C8404">
        <v>5406880</v>
      </c>
      <c r="D8404">
        <v>2619</v>
      </c>
    </row>
    <row r="8405" spans="1:4" x14ac:dyDescent="0.25">
      <c r="A8405" t="str">
        <f>T("   491000")</f>
        <v xml:space="preserve">   491000</v>
      </c>
      <c r="B8405" t="str">
        <f>T("   Calendriers de tous genres, imprimés, y.c. les blocs de calendriers à effeuiller")</f>
        <v xml:space="preserve">   Calendriers de tous genres, imprimés, y.c. les blocs de calendriers à effeuiller</v>
      </c>
      <c r="C8405">
        <v>7155754</v>
      </c>
      <c r="D8405">
        <v>1055.5</v>
      </c>
    </row>
    <row r="8406" spans="1:4" x14ac:dyDescent="0.25">
      <c r="A8406" t="str">
        <f>T("   491110")</f>
        <v xml:space="preserve">   491110</v>
      </c>
      <c r="B8406" t="str">
        <f>T("   Imprimés publicitaires, catalogues commerciaux et simil.")</f>
        <v xml:space="preserve">   Imprimés publicitaires, catalogues commerciaux et simil.</v>
      </c>
      <c r="C8406">
        <v>2633374</v>
      </c>
      <c r="D8406">
        <v>3336</v>
      </c>
    </row>
    <row r="8407" spans="1:4" x14ac:dyDescent="0.25">
      <c r="A8407" t="str">
        <f>T("   491199")</f>
        <v xml:space="preserve">   491199</v>
      </c>
      <c r="B8407" t="str">
        <f>T("   Imprimés, n.d.a.")</f>
        <v xml:space="preserve">   Imprimés, n.d.a.</v>
      </c>
      <c r="C8407">
        <v>2792848</v>
      </c>
      <c r="D8407">
        <v>1995</v>
      </c>
    </row>
    <row r="8408" spans="1:4" x14ac:dyDescent="0.25">
      <c r="A8408" t="str">
        <f>T("   520851")</f>
        <v xml:space="preserve">   520851</v>
      </c>
      <c r="B8408" t="str">
        <f>T("   Tissus de coton, imprimés, à armure toile, contenant &gt;= 85% en poids de coton, d'un poids &lt;= 100 g/m²")</f>
        <v xml:space="preserve">   Tissus de coton, imprimés, à armure toile, contenant &gt;= 85% en poids de coton, d'un poids &lt;= 100 g/m²</v>
      </c>
      <c r="C8408">
        <v>2435704</v>
      </c>
      <c r="D8408">
        <v>2975</v>
      </c>
    </row>
    <row r="8409" spans="1:4" x14ac:dyDescent="0.25">
      <c r="A8409" t="str">
        <f>T("   520852")</f>
        <v xml:space="preserve">   520852</v>
      </c>
      <c r="B8409" t="str">
        <f>T("   Tissus de coton, imprimés, à armure toile, contenant &gt;= 85% en poids de coton, d'un poids &gt; 100 g/m² mais &lt;= 200 g/m²")</f>
        <v xml:space="preserve">   Tissus de coton, imprimés, à armure toile, contenant &gt;= 85% en poids de coton, d'un poids &gt; 100 g/m² mais &lt;= 200 g/m²</v>
      </c>
      <c r="C8409">
        <v>8000396112</v>
      </c>
      <c r="D8409">
        <v>1066774.7</v>
      </c>
    </row>
    <row r="8410" spans="1:4" x14ac:dyDescent="0.25">
      <c r="A8410" t="str">
        <f>T("   581091")</f>
        <v xml:space="preserve">   581091</v>
      </c>
      <c r="B8410" t="str">
        <f>T("   Broderies de coton, sur support de matières textiles, en pièces, en bandes ou en motifs (à l'excl. des broderies chimiques ou aériennes ainsi que des broderies à fond découpé)")</f>
        <v xml:space="preserve">   Broderies de coton, sur support de matières textiles, en pièces, en bandes ou en motifs (à l'excl. des broderies chimiques ou aériennes ainsi que des broderies à fond découpé)</v>
      </c>
      <c r="C8410">
        <v>8141050</v>
      </c>
      <c r="D8410">
        <v>85</v>
      </c>
    </row>
    <row r="8411" spans="1:4" x14ac:dyDescent="0.25">
      <c r="A8411" t="str">
        <f>T("   581099")</f>
        <v xml:space="preserve">   581099</v>
      </c>
      <c r="B8411" t="str">
        <f>T("   Broderies de matières textiles, sur support de matières textiles, en pièces, en bandes ou en motifs (à l'excl. des broderies en coton ou en fibres synthétiques ou artificielles, des broderies chimiques ou aériennes et des broderies à fond découpé)")</f>
        <v xml:space="preserve">   Broderies de matières textiles, sur support de matières textiles, en pièces, en bandes ou en motifs (à l'excl. des broderies en coton ou en fibres synthétiques ou artificielles, des broderies chimiques ou aériennes et des broderies à fond découpé)</v>
      </c>
      <c r="C8411">
        <v>9886091</v>
      </c>
      <c r="D8411">
        <v>81</v>
      </c>
    </row>
    <row r="8412" spans="1:4" x14ac:dyDescent="0.25">
      <c r="A8412" t="str">
        <f>T("   610590")</f>
        <v xml:space="preserve">   610590</v>
      </c>
      <c r="B8412" t="str">
        <f>T("   Chemises et chemisettes, en bonneterie, de matières textiles, pour hommes ou garçonnets (sauf de coton, fibres synthétiques ou artificielles et sauf chemises de nuit, T-shirts et maillots de corps)")</f>
        <v xml:space="preserve">   Chemises et chemisettes, en bonneterie, de matières textiles, pour hommes ou garçonnets (sauf de coton, fibres synthétiques ou artificielles et sauf chemises de nuit, T-shirts et maillots de corps)</v>
      </c>
      <c r="C8412">
        <v>10007216</v>
      </c>
      <c r="D8412">
        <v>12508</v>
      </c>
    </row>
    <row r="8413" spans="1:4" x14ac:dyDescent="0.25">
      <c r="A8413" t="str">
        <f>T("   610690")</f>
        <v xml:space="preserve">   610690</v>
      </c>
      <c r="B8413" t="str">
        <f>T("   Chemisiers, blouses, blouses-chemisiers et chemisettes, en bonneterie, de matières textiles, pour femmes ou fillettes (sauf de coton, fibres synthétiques ou artificielles et sauf T-shirts et gilets de corps)")</f>
        <v xml:space="preserve">   Chemisiers, blouses, blouses-chemisiers et chemisettes, en bonneterie, de matières textiles, pour femmes ou fillettes (sauf de coton, fibres synthétiques ou artificielles et sauf T-shirts et gilets de corps)</v>
      </c>
      <c r="C8413">
        <v>17521</v>
      </c>
      <c r="D8413">
        <v>30</v>
      </c>
    </row>
    <row r="8414" spans="1:4" x14ac:dyDescent="0.25">
      <c r="A8414" t="str">
        <f>T("   610910")</f>
        <v xml:space="preserve">   610910</v>
      </c>
      <c r="B8414" t="str">
        <f>T("   T-shirts et maillots de corps, en bonneterie, de coton,")</f>
        <v xml:space="preserve">   T-shirts et maillots de corps, en bonneterie, de coton,</v>
      </c>
      <c r="C8414">
        <v>11807</v>
      </c>
      <c r="D8414">
        <v>8</v>
      </c>
    </row>
    <row r="8415" spans="1:4" x14ac:dyDescent="0.25">
      <c r="A8415" t="str">
        <f>T("   610990")</f>
        <v xml:space="preserve">   610990</v>
      </c>
      <c r="B8415" t="str">
        <f>T("   T-shirts et maillots de corps, en bonneterie, de matières textiles (sauf de coton)")</f>
        <v xml:space="preserve">   T-shirts et maillots de corps, en bonneterie, de matières textiles (sauf de coton)</v>
      </c>
      <c r="C8415">
        <v>128779</v>
      </c>
      <c r="D8415">
        <v>106</v>
      </c>
    </row>
    <row r="8416" spans="1:4" x14ac:dyDescent="0.25">
      <c r="A8416" t="str">
        <f>T("   611490")</f>
        <v xml:space="preserve">   611490</v>
      </c>
      <c r="B8416" t="str">
        <f>T("   Vêtements spéciaux destinés à des fins professionnelles, sportives ou autres n.d.a., en bonneterie, de matières textiles (sauf de laine, poils fins, coton, fibres synthétiques ou artificielles)")</f>
        <v xml:space="preserve">   Vêtements spéciaux destinés à des fins professionnelles, sportives ou autres n.d.a., en bonneterie, de matières textiles (sauf de laine, poils fins, coton, fibres synthétiques ou artificielles)</v>
      </c>
      <c r="C8416">
        <v>951529</v>
      </c>
      <c r="D8416">
        <v>5083</v>
      </c>
    </row>
    <row r="8417" spans="1:4" x14ac:dyDescent="0.25">
      <c r="A8417" t="str">
        <f>T("   620442")</f>
        <v xml:space="preserve">   620442</v>
      </c>
      <c r="B8417" t="str">
        <f>T("   Robes de coton, pour femmes ou fillettes (autres qu'en bonneterie et sauf combinaisons et fonds de robes)")</f>
        <v xml:space="preserve">   Robes de coton, pour femmes ou fillettes (autres qu'en bonneterie et sauf combinaisons et fonds de robes)</v>
      </c>
      <c r="C8417">
        <v>8498068</v>
      </c>
      <c r="D8417">
        <v>68.7</v>
      </c>
    </row>
    <row r="8418" spans="1:4" x14ac:dyDescent="0.25">
      <c r="A8418" t="str">
        <f>T("   620449")</f>
        <v xml:space="preserve">   620449</v>
      </c>
      <c r="B8418" t="str">
        <f>T("   Robes de matières textiles, pour femmes ou fillettes (autres que laine, poils fins, coton, fibres synthétiques ou artificielles, autres qu'en bonneterie et sauf combinaisons et fonds de robes)")</f>
        <v xml:space="preserve">   Robes de matières textiles, pour femmes ou fillettes (autres que laine, poils fins, coton, fibres synthétiques ou artificielles, autres qu'en bonneterie et sauf combinaisons et fonds de robes)</v>
      </c>
      <c r="C8418">
        <v>4356267</v>
      </c>
      <c r="D8418">
        <v>23</v>
      </c>
    </row>
    <row r="8419" spans="1:4" x14ac:dyDescent="0.25">
      <c r="A8419" t="str">
        <f>T("   620590")</f>
        <v xml:space="preserve">   620590</v>
      </c>
      <c r="B8419"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8419">
        <v>1600000</v>
      </c>
      <c r="D8419">
        <v>1650</v>
      </c>
    </row>
    <row r="8420" spans="1:4" x14ac:dyDescent="0.25">
      <c r="A8420" t="str">
        <f>T("   620690")</f>
        <v xml:space="preserve">   620690</v>
      </c>
      <c r="B8420" t="s">
        <v>270</v>
      </c>
      <c r="C8420">
        <v>4426562</v>
      </c>
      <c r="D8420">
        <v>44</v>
      </c>
    </row>
    <row r="8421" spans="1:4" x14ac:dyDescent="0.25">
      <c r="A8421" t="str">
        <f>T("   621040")</f>
        <v xml:space="preserve">   621040</v>
      </c>
      <c r="B8421" t="s">
        <v>272</v>
      </c>
      <c r="C8421">
        <v>1200000</v>
      </c>
      <c r="D8421">
        <v>561.5</v>
      </c>
    </row>
    <row r="8422" spans="1:4" x14ac:dyDescent="0.25">
      <c r="A8422" t="str">
        <f>T("   621132")</f>
        <v xml:space="preserve">   621132</v>
      </c>
      <c r="B8422" t="str">
        <f>T("   Survêtements de sport 'trainings' et autres vêtements n.d.a., de coton, pour hommes ou garçonnets (autres qu'en bonneterie)")</f>
        <v xml:space="preserve">   Survêtements de sport 'trainings' et autres vêtements n.d.a., de coton, pour hommes ou garçonnets (autres qu'en bonneterie)</v>
      </c>
      <c r="C8422">
        <v>50000</v>
      </c>
      <c r="D8422">
        <v>300</v>
      </c>
    </row>
    <row r="8423" spans="1:4" x14ac:dyDescent="0.25">
      <c r="A8423" t="str">
        <f>T("   621410")</f>
        <v xml:space="preserve">   621410</v>
      </c>
      <c r="B8423" t="str">
        <f>T("   Châles, écharpes, foulards, cache-nez, cache-col, mantilles, voiles et voilettes et articles simil., de soie ou de déchets de soie (autres qu'en bonneterie)")</f>
        <v xml:space="preserve">   Châles, écharpes, foulards, cache-nez, cache-col, mantilles, voiles et voilettes et articles simil., de soie ou de déchets de soie (autres qu'en bonneterie)</v>
      </c>
      <c r="C8423">
        <v>1225234</v>
      </c>
      <c r="D8423">
        <v>3</v>
      </c>
    </row>
    <row r="8424" spans="1:4" x14ac:dyDescent="0.25">
      <c r="A8424" t="str">
        <f>T("   621430")</f>
        <v xml:space="preserve">   621430</v>
      </c>
      <c r="B8424" t="str">
        <f>T("   Châles, écharpes, foulards, cache-nez, cache-col, mantilles, voiles et voilettes et articles simil., de fibres synthétiques (autres qu'en bonneterie)")</f>
        <v xml:space="preserve">   Châles, écharpes, foulards, cache-nez, cache-col, mantilles, voiles et voilettes et articles simil., de fibres synthétiques (autres qu'en bonneterie)</v>
      </c>
      <c r="C8424">
        <v>213872</v>
      </c>
      <c r="D8424">
        <v>1</v>
      </c>
    </row>
    <row r="8425" spans="1:4" x14ac:dyDescent="0.25">
      <c r="A8425" t="str">
        <f>T("   630399")</f>
        <v xml:space="preserve">   630399</v>
      </c>
      <c r="B8425" t="str">
        <f>T("   Vitrages, rideaux et stores d'intérieur ainsi que cantonnières et tours de lit, de matières textiles (autres que de coton et fibres synthétiques, autres qu'en bonneterie et autres que stores d'extérieur)")</f>
        <v xml:space="preserve">   Vitrages, rideaux et stores d'intérieur ainsi que cantonnières et tours de lit, de matières textiles (autres que de coton et fibres synthétiques, autres qu'en bonneterie et autres que stores d'extérieur)</v>
      </c>
      <c r="C8425">
        <v>96559</v>
      </c>
      <c r="D8425">
        <v>101</v>
      </c>
    </row>
    <row r="8426" spans="1:4" x14ac:dyDescent="0.25">
      <c r="A8426" t="str">
        <f>T("   630790")</f>
        <v xml:space="preserve">   630790</v>
      </c>
      <c r="B8426" t="str">
        <f>T("   Articles de matières textiles, confectionnés, y.c. les patrons de vêtements n.d.a.")</f>
        <v xml:space="preserve">   Articles de matières textiles, confectionnés, y.c. les patrons de vêtements n.d.a.</v>
      </c>
      <c r="C8426">
        <v>17465</v>
      </c>
      <c r="D8426">
        <v>24</v>
      </c>
    </row>
    <row r="8427" spans="1:4" x14ac:dyDescent="0.25">
      <c r="A8427" t="str">
        <f>T("   630900")</f>
        <v xml:space="preserve">   630900</v>
      </c>
      <c r="B8427" t="s">
        <v>280</v>
      </c>
      <c r="C8427">
        <v>244254006</v>
      </c>
      <c r="D8427">
        <v>397591</v>
      </c>
    </row>
    <row r="8428" spans="1:4" x14ac:dyDescent="0.25">
      <c r="A8428" t="str">
        <f>T("   650590")</f>
        <v xml:space="preserve">   650590</v>
      </c>
      <c r="B8428" t="s">
        <v>291</v>
      </c>
      <c r="C8428">
        <v>163695</v>
      </c>
      <c r="D8428">
        <v>124</v>
      </c>
    </row>
    <row r="8429" spans="1:4" x14ac:dyDescent="0.25">
      <c r="A8429" t="str">
        <f>T("   660110")</f>
        <v xml:space="preserve">   660110</v>
      </c>
      <c r="B8429" t="str">
        <f>T("   Parasols de jardin et articles simil. (sauf tentes de plage)")</f>
        <v xml:space="preserve">   Parasols de jardin et articles simil. (sauf tentes de plage)</v>
      </c>
      <c r="C8429">
        <v>11308</v>
      </c>
      <c r="D8429">
        <v>3</v>
      </c>
    </row>
    <row r="8430" spans="1:4" x14ac:dyDescent="0.25">
      <c r="A8430" t="str">
        <f>T("   660199")</f>
        <v xml:space="preserve">   660199</v>
      </c>
      <c r="B8430" t="str">
        <f>T("   Parapluies, y.c. les parapluies-cannes et ombrelles (sauf parapluies et ombrelles à mât ou à manche télescopique, parasols de jardin et articles simil. et sauf jouets d'enfants)")</f>
        <v xml:space="preserve">   Parapluies, y.c. les parapluies-cannes et ombrelles (sauf parapluies et ombrelles à mât ou à manche télescopique, parasols de jardin et articles simil. et sauf jouets d'enfants)</v>
      </c>
      <c r="C8430">
        <v>190477</v>
      </c>
      <c r="D8430">
        <v>175</v>
      </c>
    </row>
    <row r="8431" spans="1:4" x14ac:dyDescent="0.25">
      <c r="A8431" t="str">
        <f>T("   681011")</f>
        <v xml:space="preserve">   681011</v>
      </c>
      <c r="B8431" t="str">
        <f>T("   Blocs et briques pour la construction, en ciment, en béton ou en pierre artificielle, même armés")</f>
        <v xml:space="preserve">   Blocs et briques pour la construction, en ciment, en béton ou en pierre artificielle, même armés</v>
      </c>
      <c r="C8431">
        <v>62130941</v>
      </c>
      <c r="D8431">
        <v>632665</v>
      </c>
    </row>
    <row r="8432" spans="1:4" x14ac:dyDescent="0.25">
      <c r="A8432" t="str">
        <f>T("   700510")</f>
        <v xml:space="preserve">   700510</v>
      </c>
      <c r="B8432" t="str">
        <f>T("   PLAQUES OU FEUILLES EN GLACE [VERRE FLOTTÉ ET VERRE DOUCI OU POLI SUR UNE OU DEUX FACES], À COUCHE ABSORBANTE, RÉFLÉCHISSANTE OU NON-RÉFLÉCHISSANTE, MAIS NON AUTREMENT TRAVAILLÉE (SAUF ARMÉE)")</f>
        <v xml:space="preserve">   PLAQUES OU FEUILLES EN GLACE [VERRE FLOTTÉ ET VERRE DOUCI OU POLI SUR UNE OU DEUX FACES], À COUCHE ABSORBANTE, RÉFLÉCHISSANTE OU NON-RÉFLÉCHISSANTE, MAIS NON AUTREMENT TRAVAILLÉE (SAUF ARMÉE)</v>
      </c>
      <c r="C8432">
        <v>7150922</v>
      </c>
      <c r="D8432">
        <v>24500</v>
      </c>
    </row>
    <row r="8433" spans="1:4" x14ac:dyDescent="0.25">
      <c r="A8433" t="str">
        <f>T("   700992")</f>
        <v xml:space="preserve">   700992</v>
      </c>
      <c r="B8433" t="str">
        <f>T("   Miroirs, en verre encadrés (sauf miroirs rétroviseurs pour véhicules)")</f>
        <v xml:space="preserve">   Miroirs, en verre encadrés (sauf miroirs rétroviseurs pour véhicules)</v>
      </c>
      <c r="C8433">
        <v>496686</v>
      </c>
      <c r="D8433">
        <v>148</v>
      </c>
    </row>
    <row r="8434" spans="1:4" x14ac:dyDescent="0.25">
      <c r="A8434" t="str">
        <f>T("   701329")</f>
        <v xml:space="preserve">   701329</v>
      </c>
      <c r="B8434" t="str">
        <f>T("   Verres à boire (autres qu'en vitrocérame, autres qu'en cristal au plomb)")</f>
        <v xml:space="preserve">   Verres à boire (autres qu'en vitrocérame, autres qu'en cristal au plomb)</v>
      </c>
      <c r="C8434">
        <v>63629</v>
      </c>
      <c r="D8434">
        <v>198</v>
      </c>
    </row>
    <row r="8435" spans="1:4" x14ac:dyDescent="0.25">
      <c r="A8435" t="str">
        <f>T("   701339")</f>
        <v xml:space="preserve">   701339</v>
      </c>
      <c r="B8435" t="s">
        <v>327</v>
      </c>
      <c r="C8435">
        <v>500000</v>
      </c>
      <c r="D8435">
        <v>200</v>
      </c>
    </row>
    <row r="8436" spans="1:4" x14ac:dyDescent="0.25">
      <c r="A8436" t="str">
        <f>T("   701399")</f>
        <v xml:space="preserve">   701399</v>
      </c>
      <c r="B8436" t="s">
        <v>328</v>
      </c>
      <c r="C8436">
        <v>104953</v>
      </c>
      <c r="D8436">
        <v>1</v>
      </c>
    </row>
    <row r="8437" spans="1:4" x14ac:dyDescent="0.25">
      <c r="A8437" t="str">
        <f>T("   702000")</f>
        <v xml:space="preserve">   702000</v>
      </c>
      <c r="B8437" t="str">
        <f>T("   Ouvrages en verre n.d.a.")</f>
        <v xml:space="preserve">   Ouvrages en verre n.d.a.</v>
      </c>
      <c r="C8437">
        <v>54663</v>
      </c>
      <c r="D8437">
        <v>64</v>
      </c>
    </row>
    <row r="8438" spans="1:4" x14ac:dyDescent="0.25">
      <c r="A8438" t="str">
        <f>T("   711719")</f>
        <v xml:space="preserve">   711719</v>
      </c>
      <c r="B8438" t="str">
        <f>T("   Bijouterie de fantaisie en métaux communs, même argentés, dorés ou platinés (à l'excl. des boutons de manchettes et des boutons simil.)")</f>
        <v xml:space="preserve">   Bijouterie de fantaisie en métaux communs, même argentés, dorés ou platinés (à l'excl. des boutons de manchettes et des boutons simil.)</v>
      </c>
      <c r="C8438">
        <v>16196701</v>
      </c>
      <c r="D8438">
        <v>1150</v>
      </c>
    </row>
    <row r="8439" spans="1:4" x14ac:dyDescent="0.25">
      <c r="A8439" t="str">
        <f>T("   711790")</f>
        <v xml:space="preserve">   711790</v>
      </c>
      <c r="B8439" t="str">
        <f>T("   Bijouterie de fantaisie (autre qu'en métaux communs, même argentés, dorés ou platinés)")</f>
        <v xml:space="preserve">   Bijouterie de fantaisie (autre qu'en métaux communs, même argentés, dorés ou platinés)</v>
      </c>
      <c r="C8439">
        <v>380046</v>
      </c>
      <c r="D8439">
        <v>3</v>
      </c>
    </row>
    <row r="8440" spans="1:4" x14ac:dyDescent="0.25">
      <c r="A8440" t="str">
        <f>T("   721399")</f>
        <v xml:space="preserve">   721399</v>
      </c>
      <c r="B8440" t="s">
        <v>338</v>
      </c>
      <c r="C8440">
        <v>1294747118</v>
      </c>
      <c r="D8440">
        <v>3302200</v>
      </c>
    </row>
    <row r="8441" spans="1:4" x14ac:dyDescent="0.25">
      <c r="A8441" t="str">
        <f>T("   721720")</f>
        <v xml:space="preserve">   721720</v>
      </c>
      <c r="B8441" t="str">
        <f>T("   FILS EN FER OU EN ACIERS NON-ALLIÉS, ENROULÉS, ZINGUÉS (À L'EXCL. DU FIL MACHINE)")</f>
        <v xml:space="preserve">   FILS EN FER OU EN ACIERS NON-ALLIÉS, ENROULÉS, ZINGUÉS (À L'EXCL. DU FIL MACHINE)</v>
      </c>
      <c r="C8441">
        <v>8462723</v>
      </c>
      <c r="D8441">
        <v>20000</v>
      </c>
    </row>
    <row r="8442" spans="1:4" x14ac:dyDescent="0.25">
      <c r="A8442" t="str">
        <f>T("   721790")</f>
        <v xml:space="preserve">   721790</v>
      </c>
      <c r="B8442" t="str">
        <f>T("   FILS EN FER OU EN ACIERS NON-ALLIÉS, ENROULÉS, REVÊTUS (À L'EXCL. DU FIL MACHINE AINSI QUE DES FILS REVÊTUS DE MÉTAUX COMMUNS)")</f>
        <v xml:space="preserve">   FILS EN FER OU EN ACIERS NON-ALLIÉS, ENROULÉS, REVÊTUS (À L'EXCL. DU FIL MACHINE AINSI QUE DES FILS REVÊTUS DE MÉTAUX COMMUNS)</v>
      </c>
      <c r="C8442">
        <v>3086051</v>
      </c>
      <c r="D8442">
        <v>6000</v>
      </c>
    </row>
    <row r="8443" spans="1:4" x14ac:dyDescent="0.25">
      <c r="A8443" t="str">
        <f>T("   730799")</f>
        <v xml:space="preserve">   730799</v>
      </c>
      <c r="B8443" t="str">
        <f>T("   Accessoires de tuyauterie, en fer ou aciers (autres que moulés ou en aciers inoxydables; sauf brides; coudes, courbes et manchons, filetés et sauf accessoires à souder bout à bout)")</f>
        <v xml:space="preserve">   Accessoires de tuyauterie, en fer ou aciers (autres que moulés ou en aciers inoxydables; sauf brides; coudes, courbes et manchons, filetés et sauf accessoires à souder bout à bout)</v>
      </c>
      <c r="C8443">
        <v>1043862</v>
      </c>
      <c r="D8443">
        <v>61</v>
      </c>
    </row>
    <row r="8444" spans="1:4" x14ac:dyDescent="0.25">
      <c r="A8444" t="str">
        <f>T("   731815")</f>
        <v xml:space="preserve">   731815</v>
      </c>
      <c r="B8444" t="s">
        <v>354</v>
      </c>
      <c r="C8444">
        <v>4265708</v>
      </c>
      <c r="D8444">
        <v>1001</v>
      </c>
    </row>
    <row r="8445" spans="1:4" x14ac:dyDescent="0.25">
      <c r="A8445" t="str">
        <f>T("   732394")</f>
        <v xml:space="preserve">   732394</v>
      </c>
      <c r="B8445" t="s">
        <v>361</v>
      </c>
      <c r="C8445">
        <v>900000</v>
      </c>
      <c r="D8445">
        <v>1060</v>
      </c>
    </row>
    <row r="8446" spans="1:4" x14ac:dyDescent="0.25">
      <c r="A8446" t="str">
        <f>T("   732690")</f>
        <v xml:space="preserve">   732690</v>
      </c>
      <c r="B8446"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8446">
        <v>12942740</v>
      </c>
      <c r="D8446">
        <v>6185</v>
      </c>
    </row>
    <row r="8447" spans="1:4" x14ac:dyDescent="0.25">
      <c r="A8447" t="str">
        <f>T("   761519")</f>
        <v xml:space="preserve">   761519</v>
      </c>
      <c r="B8447" t="s">
        <v>367</v>
      </c>
      <c r="C8447">
        <v>350000</v>
      </c>
      <c r="D8447">
        <v>2940</v>
      </c>
    </row>
    <row r="8448" spans="1:4" x14ac:dyDescent="0.25">
      <c r="A8448" t="str">
        <f>T("   830140")</f>
        <v xml:space="preserve">   830140</v>
      </c>
      <c r="B8448" t="str">
        <f>T("   Serrures et verrous, en métaux communs (autres que cadenas et serrures des types utilisés pour véhicules automobiles ou meubles)")</f>
        <v xml:space="preserve">   Serrures et verrous, en métaux communs (autres que cadenas et serrures des types utilisés pour véhicules automobiles ou meubles)</v>
      </c>
      <c r="C8448">
        <v>64730</v>
      </c>
      <c r="D8448">
        <v>31</v>
      </c>
    </row>
    <row r="8449" spans="1:4" x14ac:dyDescent="0.25">
      <c r="A8449" t="str">
        <f>T("   830210")</f>
        <v xml:space="preserve">   830210</v>
      </c>
      <c r="B8449" t="str">
        <f>T("   Charnières de tous genres, y.c. les paumelles et pentures, en métaux communs")</f>
        <v xml:space="preserve">   Charnières de tous genres, y.c. les paumelles et pentures, en métaux communs</v>
      </c>
      <c r="C8449">
        <v>82159</v>
      </c>
      <c r="D8449">
        <v>39</v>
      </c>
    </row>
    <row r="8450" spans="1:4" x14ac:dyDescent="0.25">
      <c r="A8450" t="str">
        <f>T("   830300")</f>
        <v xml:space="preserve">   830300</v>
      </c>
      <c r="B8450" t="str">
        <f>T("   Coffres-forts, portes blindées et compartiments pour chambres fortes, coffres et cassettes de sûreté et articles simil., en métaux communs")</f>
        <v xml:space="preserve">   Coffres-forts, portes blindées et compartiments pour chambres fortes, coffres et cassettes de sûreté et articles simil., en métaux communs</v>
      </c>
      <c r="C8450">
        <v>10759490</v>
      </c>
      <c r="D8450">
        <v>12120</v>
      </c>
    </row>
    <row r="8451" spans="1:4" x14ac:dyDescent="0.25">
      <c r="A8451" t="str">
        <f>T("   830710")</f>
        <v xml:space="preserve">   830710</v>
      </c>
      <c r="B8451" t="str">
        <f>T("   Tuyaux flexibles en fer ou en acier, même avec accessoires")</f>
        <v xml:space="preserve">   Tuyaux flexibles en fer ou en acier, même avec accessoires</v>
      </c>
      <c r="C8451">
        <v>1958041</v>
      </c>
      <c r="D8451">
        <v>246</v>
      </c>
    </row>
    <row r="8452" spans="1:4" x14ac:dyDescent="0.25">
      <c r="A8452" t="str">
        <f>T("   831110")</f>
        <v xml:space="preserve">   831110</v>
      </c>
      <c r="B8452" t="str">
        <f>T("   ÉLECTRODES ENROBÉES EN MÉTAUX COMMUNS, POUR LE SOUDAGE À L'ARC")</f>
        <v xml:space="preserve">   ÉLECTRODES ENROBÉES EN MÉTAUX COMMUNS, POUR LE SOUDAGE À L'ARC</v>
      </c>
      <c r="C8452">
        <v>869281</v>
      </c>
      <c r="D8452">
        <v>68</v>
      </c>
    </row>
    <row r="8453" spans="1:4" x14ac:dyDescent="0.25">
      <c r="A8453" t="str">
        <f>T("   840890")</f>
        <v xml:space="preserve">   840890</v>
      </c>
      <c r="B8453" t="s">
        <v>389</v>
      </c>
      <c r="C8453">
        <v>9538086</v>
      </c>
      <c r="D8453">
        <v>1730</v>
      </c>
    </row>
    <row r="8454" spans="1:4" x14ac:dyDescent="0.25">
      <c r="A8454" t="str">
        <f>T("   840991")</f>
        <v xml:space="preserve">   840991</v>
      </c>
      <c r="B8454" t="str">
        <f>T("   Parties reconnaissables comme étant exclusivement ou principalement destinées aux moteurs à piston à allumage par étincelles, n.d.a.")</f>
        <v xml:space="preserve">   Parties reconnaissables comme étant exclusivement ou principalement destinées aux moteurs à piston à allumage par étincelles, n.d.a.</v>
      </c>
      <c r="C8454">
        <v>737299</v>
      </c>
      <c r="D8454">
        <v>24</v>
      </c>
    </row>
    <row r="8455" spans="1:4" x14ac:dyDescent="0.25">
      <c r="A8455" t="str">
        <f>T("   840999")</f>
        <v xml:space="preserve">   840999</v>
      </c>
      <c r="B8455" t="str">
        <f>T("   Parties reconnaissables comme étant exclusivement ou principalement destinées aux moteurs à piston à allumage par compression, n.d.a.")</f>
        <v xml:space="preserve">   Parties reconnaissables comme étant exclusivement ou principalement destinées aux moteurs à piston à allumage par compression, n.d.a.</v>
      </c>
      <c r="C8455">
        <v>181430586</v>
      </c>
      <c r="D8455">
        <v>2728</v>
      </c>
    </row>
    <row r="8456" spans="1:4" x14ac:dyDescent="0.25">
      <c r="A8456" t="str">
        <f>T("   841320")</f>
        <v xml:space="preserve">   841320</v>
      </c>
      <c r="B8456" t="str">
        <f>T("   Pompes à bras pour liquides (sauf les pompes avec dispositif mesureur ou conçues pour en comporter du n° 8413.11 ou 8413.19)")</f>
        <v xml:space="preserve">   Pompes à bras pour liquides (sauf les pompes avec dispositif mesureur ou conçues pour en comporter du n° 8413.11 ou 8413.19)</v>
      </c>
      <c r="C8456">
        <v>1312</v>
      </c>
      <c r="D8456">
        <v>8</v>
      </c>
    </row>
    <row r="8457" spans="1:4" x14ac:dyDescent="0.25">
      <c r="A8457" t="str">
        <f>T("   841370")</f>
        <v xml:space="preserve">   841370</v>
      </c>
      <c r="B8457" t="s">
        <v>392</v>
      </c>
      <c r="C8457">
        <v>10663948</v>
      </c>
      <c r="D8457">
        <v>882.7</v>
      </c>
    </row>
    <row r="8458" spans="1:4" x14ac:dyDescent="0.25">
      <c r="A8458" t="str">
        <f>T("   841381")</f>
        <v xml:space="preserve">   841381</v>
      </c>
      <c r="B8458" t="s">
        <v>393</v>
      </c>
      <c r="C8458">
        <v>6445147</v>
      </c>
      <c r="D8458">
        <v>3166</v>
      </c>
    </row>
    <row r="8459" spans="1:4" x14ac:dyDescent="0.25">
      <c r="A8459" t="str">
        <f>T("   841480")</f>
        <v xml:space="preserve">   841480</v>
      </c>
      <c r="B8459" t="s">
        <v>394</v>
      </c>
      <c r="C8459">
        <v>924766</v>
      </c>
      <c r="D8459">
        <v>11</v>
      </c>
    </row>
    <row r="8460" spans="1:4" x14ac:dyDescent="0.25">
      <c r="A8460" t="str">
        <f>T("   841810")</f>
        <v xml:space="preserve">   841810</v>
      </c>
      <c r="B8460" t="str">
        <f>T("   Réfrigérateurs et congélateurs-conservateurs combinés, avec portes extérieures séparées")</f>
        <v xml:space="preserve">   Réfrigérateurs et congélateurs-conservateurs combinés, avec portes extérieures séparées</v>
      </c>
      <c r="C8460">
        <v>316700</v>
      </c>
      <c r="D8460">
        <v>2000</v>
      </c>
    </row>
    <row r="8461" spans="1:4" x14ac:dyDescent="0.25">
      <c r="A8461" t="str">
        <f>T("   842123")</f>
        <v xml:space="preserve">   842123</v>
      </c>
      <c r="B8461" t="str">
        <f>T("   Appareils pour la filtration des huiles minérales et carburants pour les moteurs à allumage par étincelles ou par compression")</f>
        <v xml:space="preserve">   Appareils pour la filtration des huiles minérales et carburants pour les moteurs à allumage par étincelles ou par compression</v>
      </c>
      <c r="C8461">
        <v>129880</v>
      </c>
      <c r="D8461">
        <v>4</v>
      </c>
    </row>
    <row r="8462" spans="1:4" x14ac:dyDescent="0.25">
      <c r="A8462" t="str">
        <f>T("   842129")</f>
        <v xml:space="preserve">   842129</v>
      </c>
      <c r="B8462" t="str">
        <f>T("   Appareils pour la filtration ou l'épuration des liquides (à l'excl. de l'eau ou des boissons, des huiles minérales et carburants pour les moteurs à allumage par étincelles ou par compression ainsi que les reins artificiels)")</f>
        <v xml:space="preserve">   Appareils pour la filtration ou l'épuration des liquides (à l'excl. de l'eau ou des boissons, des huiles minérales et carburants pour les moteurs à allumage par étincelles ou par compression ainsi que les reins artificiels)</v>
      </c>
      <c r="C8462">
        <v>147401</v>
      </c>
      <c r="D8462">
        <v>6</v>
      </c>
    </row>
    <row r="8463" spans="1:4" x14ac:dyDescent="0.25">
      <c r="A8463" t="str">
        <f>T("   842131")</f>
        <v xml:space="preserve">   842131</v>
      </c>
      <c r="B8463" t="str">
        <f>T("   Filtres d'entrée d'air pour moteurs à allumage par étincelles ou par compression")</f>
        <v xml:space="preserve">   Filtres d'entrée d'air pour moteurs à allumage par étincelles ou par compression</v>
      </c>
      <c r="C8463">
        <v>4249696</v>
      </c>
      <c r="D8463">
        <v>478</v>
      </c>
    </row>
    <row r="8464" spans="1:4" x14ac:dyDescent="0.25">
      <c r="A8464" t="str">
        <f>T("   842139")</f>
        <v xml:space="preserve">   842139</v>
      </c>
      <c r="B8464" t="str">
        <f>T("   Appareils pour la filtration ou l'épuration des gaz (autres que pour la séparation isotopique et sauf les filtres d'entrée d'air pour moteurs à allumage par étincelles ou par compression)")</f>
        <v xml:space="preserve">   Appareils pour la filtration ou l'épuration des gaz (autres que pour la séparation isotopique et sauf les filtres d'entrée d'air pour moteurs à allumage par étincelles ou par compression)</v>
      </c>
      <c r="C8464">
        <v>1799862</v>
      </c>
      <c r="D8464">
        <v>100</v>
      </c>
    </row>
    <row r="8465" spans="1:4" x14ac:dyDescent="0.25">
      <c r="A8465" t="str">
        <f>T("   842542")</f>
        <v xml:space="preserve">   842542</v>
      </c>
      <c r="B8465" t="str">
        <f>T("   Crics et vérins, hydrauliques (sauf élévateurs fixes des types utilisés dans les garages pour voitures)")</f>
        <v xml:space="preserve">   Crics et vérins, hydrauliques (sauf élévateurs fixes des types utilisés dans les garages pour voitures)</v>
      </c>
      <c r="C8465">
        <v>1889985</v>
      </c>
      <c r="D8465">
        <v>150</v>
      </c>
    </row>
    <row r="8466" spans="1:4" x14ac:dyDescent="0.25">
      <c r="A8466" t="str">
        <f>T("   842720")</f>
        <v xml:space="preserve">   842720</v>
      </c>
      <c r="B8466" t="str">
        <f>T("   Chariots de manutention autopropulsés, autres qu'à moteur électrique, avec dispositif de levage")</f>
        <v xml:space="preserve">   Chariots de manutention autopropulsés, autres qu'à moteur électrique, avec dispositif de levage</v>
      </c>
      <c r="C8466">
        <v>20136922</v>
      </c>
      <c r="D8466">
        <v>6680</v>
      </c>
    </row>
    <row r="8467" spans="1:4" x14ac:dyDescent="0.25">
      <c r="A8467" t="str">
        <f>T("   842940")</f>
        <v xml:space="preserve">   842940</v>
      </c>
      <c r="B8467" t="str">
        <f>T("   Rouleaux compresseurs et autres compacteuses, autopropulsés")</f>
        <v xml:space="preserve">   Rouleaux compresseurs et autres compacteuses, autopropulsés</v>
      </c>
      <c r="C8467">
        <v>8930075</v>
      </c>
      <c r="D8467">
        <v>6460</v>
      </c>
    </row>
    <row r="8468" spans="1:4" x14ac:dyDescent="0.25">
      <c r="A8468" t="str">
        <f>T("   842951")</f>
        <v xml:space="preserve">   842951</v>
      </c>
      <c r="B8468" t="str">
        <f>T("   Chargeuses et chargeuses-pelleteuses, à chargement frontal, autopropulsées")</f>
        <v xml:space="preserve">   Chargeuses et chargeuses-pelleteuses, à chargement frontal, autopropulsées</v>
      </c>
      <c r="C8468">
        <v>102493750</v>
      </c>
      <c r="D8468">
        <v>32000</v>
      </c>
    </row>
    <row r="8469" spans="1:4" x14ac:dyDescent="0.25">
      <c r="A8469" t="str">
        <f>T("   842959")</f>
        <v xml:space="preserve">   842959</v>
      </c>
      <c r="B8469" t="str">
        <f>T("   PELLES MÉCANIQUES, EXCAVATEURS, CHARGEUSES ET CHARGEUSES-PELLETEUSES, AUTOPROPULSÉS (SAUF PELLES-MÉCANIQUES DONT LA SUPERSTRUCTURE PEUT EFFECTUER UNE ROTATION DE 360¦ ET SAUF CHARGEUSES À CHARGEMENT FRONTAL)")</f>
        <v xml:space="preserve">   PELLES MÉCANIQUES, EXCAVATEURS, CHARGEUSES ET CHARGEUSES-PELLETEUSES, AUTOPROPULSÉS (SAUF PELLES-MÉCANIQUES DONT LA SUPERSTRUCTURE PEUT EFFECTUER UNE ROTATION DE 360¦ ET SAUF CHARGEUSES À CHARGEMENT FRONTAL)</v>
      </c>
      <c r="C8469">
        <v>125192750</v>
      </c>
      <c r="D8469">
        <v>82813</v>
      </c>
    </row>
    <row r="8470" spans="1:4" x14ac:dyDescent="0.25">
      <c r="A8470" t="str">
        <f>T("   843120")</f>
        <v xml:space="preserve">   843120</v>
      </c>
      <c r="B8470" t="str">
        <f>T("   Parties de chariots-gerbeurs et autres chariots de manutention munis d'un dispositif de levage, n.d.a.")</f>
        <v xml:space="preserve">   Parties de chariots-gerbeurs et autres chariots de manutention munis d'un dispositif de levage, n.d.a.</v>
      </c>
      <c r="C8470">
        <v>27242108</v>
      </c>
      <c r="D8470">
        <v>1606</v>
      </c>
    </row>
    <row r="8471" spans="1:4" x14ac:dyDescent="0.25">
      <c r="A8471" t="str">
        <f>T("   843139")</f>
        <v xml:space="preserve">   843139</v>
      </c>
      <c r="B8471" t="str">
        <f>T("   Parties de machines et appareils du n° 8428, n.d.a.")</f>
        <v xml:space="preserve">   Parties de machines et appareils du n° 8428, n.d.a.</v>
      </c>
      <c r="C8471">
        <v>1204014</v>
      </c>
      <c r="D8471">
        <v>2.1</v>
      </c>
    </row>
    <row r="8472" spans="1:4" x14ac:dyDescent="0.25">
      <c r="A8472" t="str">
        <f>T("   843141")</f>
        <v xml:space="preserve">   843141</v>
      </c>
      <c r="B8472" t="str">
        <f>T("   Godets, bennes, bennes-preneuses, pelles, grappins et pinces pour machines et appareils du n° 8426, 8429 ou 8430")</f>
        <v xml:space="preserve">   Godets, bennes, bennes-preneuses, pelles, grappins et pinces pour machines et appareils du n° 8426, 8429 ou 8430</v>
      </c>
      <c r="C8472">
        <v>57311553</v>
      </c>
      <c r="D8472">
        <v>22190</v>
      </c>
    </row>
    <row r="8473" spans="1:4" x14ac:dyDescent="0.25">
      <c r="A8473" t="str">
        <f>T("   843149")</f>
        <v xml:space="preserve">   843149</v>
      </c>
      <c r="B8473" t="str">
        <f>T("   Parties de machines et appareils du n° 8426, 8429 ou 8430, n.d.a.")</f>
        <v xml:space="preserve">   Parties de machines et appareils du n° 8426, 8429 ou 8430, n.d.a.</v>
      </c>
      <c r="C8473">
        <v>166828975</v>
      </c>
      <c r="D8473">
        <v>39372</v>
      </c>
    </row>
    <row r="8474" spans="1:4" x14ac:dyDescent="0.25">
      <c r="A8474" t="str">
        <f>T("   843290")</f>
        <v xml:space="preserve">   843290</v>
      </c>
      <c r="B8474" t="str">
        <f>T("   Parties de machines, appareils et engins agricoles, sylvicoles ou horticoles pour la préparation ou le travail du sol ou pour la culture, ainsi que de rouleaux pour pelouses ou terrains de sport, n.d.a.")</f>
        <v xml:space="preserve">   Parties de machines, appareils et engins agricoles, sylvicoles ou horticoles pour la préparation ou le travail du sol ou pour la culture, ainsi que de rouleaux pour pelouses ou terrains de sport, n.d.a.</v>
      </c>
      <c r="C8474">
        <v>16452717</v>
      </c>
      <c r="D8474">
        <v>731</v>
      </c>
    </row>
    <row r="8475" spans="1:4" x14ac:dyDescent="0.25">
      <c r="A8475" t="str">
        <f>T("   843319")</f>
        <v xml:space="preserve">   843319</v>
      </c>
      <c r="B8475" t="str">
        <f>T("   Tondeuses à gazon à moteur, dont le dispositif de coupe tourne dans un plan vertical, ou à barre de coupe")</f>
        <v xml:space="preserve">   Tondeuses à gazon à moteur, dont le dispositif de coupe tourne dans un plan vertical, ou à barre de coupe</v>
      </c>
      <c r="C8475">
        <v>1232856</v>
      </c>
      <c r="D8475">
        <v>820</v>
      </c>
    </row>
    <row r="8476" spans="1:4" x14ac:dyDescent="0.25">
      <c r="A8476" t="str">
        <f>T("   843390")</f>
        <v xml:space="preserve">   843390</v>
      </c>
      <c r="B8476" t="str">
        <f>T("   Parties des machines, appareils et engins pour la récolte, le battage et le fauchage, et des machines pour le nettoyage ou le triage des produits agricoles, n.d.a.")</f>
        <v xml:space="preserve">   Parties des machines, appareils et engins pour la récolte, le battage et le fauchage, et des machines pour le nettoyage ou le triage des produits agricoles, n.d.a.</v>
      </c>
      <c r="C8476">
        <v>159398</v>
      </c>
      <c r="D8476">
        <v>6.1</v>
      </c>
    </row>
    <row r="8477" spans="1:4" x14ac:dyDescent="0.25">
      <c r="A8477" t="str">
        <f>T("   843810")</f>
        <v xml:space="preserve">   843810</v>
      </c>
      <c r="B8477" t="s">
        <v>413</v>
      </c>
      <c r="C8477">
        <v>1320447</v>
      </c>
      <c r="D8477">
        <v>15000</v>
      </c>
    </row>
    <row r="8478" spans="1:4" x14ac:dyDescent="0.25">
      <c r="A8478" t="str">
        <f>T("   844319")</f>
        <v xml:space="preserve">   844319</v>
      </c>
      <c r="B8478" t="s">
        <v>417</v>
      </c>
      <c r="C8478">
        <v>7163000</v>
      </c>
      <c r="D8478">
        <v>2557</v>
      </c>
    </row>
    <row r="8479" spans="1:4" x14ac:dyDescent="0.25">
      <c r="A8479" t="str">
        <f>T("   844330")</f>
        <v xml:space="preserve">   844330</v>
      </c>
      <c r="B8479" t="str">
        <f>T("   Machines et appareils à imprimer, flexographiques")</f>
        <v xml:space="preserve">   Machines et appareils à imprimer, flexographiques</v>
      </c>
      <c r="C8479">
        <v>7075185</v>
      </c>
      <c r="D8479">
        <v>356</v>
      </c>
    </row>
    <row r="8480" spans="1:4" x14ac:dyDescent="0.25">
      <c r="A8480" t="str">
        <f>T("   844390")</f>
        <v xml:space="preserve">   844390</v>
      </c>
      <c r="B8480" t="str">
        <f>T("   Parties de machines et appareils à imprimer et de leur machines et appareils auxiliaires, n.d.a.")</f>
        <v xml:space="preserve">   Parties de machines et appareils à imprimer et de leur machines et appareils auxiliaires, n.d.a.</v>
      </c>
      <c r="C8480">
        <v>718932</v>
      </c>
      <c r="D8480">
        <v>23</v>
      </c>
    </row>
    <row r="8481" spans="1:4" x14ac:dyDescent="0.25">
      <c r="A8481" t="str">
        <f>T("   844400")</f>
        <v xml:space="preserve">   844400</v>
      </c>
      <c r="B8481" t="str">
        <f>T("   Machines pour le filage -extrusion-, l'étirage, la texturation ou le tranchage des matières textiles synthétiques ou artificielles")</f>
        <v xml:space="preserve">   Machines pour le filage -extrusion-, l'étirage, la texturation ou le tranchage des matières textiles synthétiques ou artificielles</v>
      </c>
      <c r="C8481">
        <v>638866</v>
      </c>
      <c r="D8481">
        <v>1</v>
      </c>
    </row>
    <row r="8482" spans="1:4" x14ac:dyDescent="0.25">
      <c r="A8482" t="str">
        <f>T("   845090")</f>
        <v xml:space="preserve">   845090</v>
      </c>
      <c r="B8482" t="str">
        <f>T("   Parties de machines à laver le linge, n.d.a.")</f>
        <v xml:space="preserve">   Parties de machines à laver le linge, n.d.a.</v>
      </c>
      <c r="C8482">
        <v>256480</v>
      </c>
      <c r="D8482">
        <v>4</v>
      </c>
    </row>
    <row r="8483" spans="1:4" x14ac:dyDescent="0.25">
      <c r="A8483" t="str">
        <f>T("   845190")</f>
        <v xml:space="preserve">   845190</v>
      </c>
      <c r="B8483" t="s">
        <v>421</v>
      </c>
      <c r="C8483">
        <v>299118</v>
      </c>
      <c r="D8483">
        <v>3.23</v>
      </c>
    </row>
    <row r="8484" spans="1:4" x14ac:dyDescent="0.25">
      <c r="A8484" t="str">
        <f>T("   845490")</f>
        <v xml:space="preserve">   845490</v>
      </c>
      <c r="B8484" t="str">
        <f>T("   Parties de convertisseurs, poches de coulée, lingotière et machines simil. à couler -mouler- pour métallurgie, aciérie ou fonderie, n.d.a.")</f>
        <v xml:space="preserve">   Parties de convertisseurs, poches de coulée, lingotière et machines simil. à couler -mouler- pour métallurgie, aciérie ou fonderie, n.d.a.</v>
      </c>
      <c r="C8484">
        <v>1962632</v>
      </c>
      <c r="D8484">
        <v>222</v>
      </c>
    </row>
    <row r="8485" spans="1:4" x14ac:dyDescent="0.25">
      <c r="A8485" t="str">
        <f>T("   846719")</f>
        <v xml:space="preserve">   846719</v>
      </c>
      <c r="B8485" t="str">
        <f>T("   OUTILS PNEUMATIQUES, POUR EMPLOI À LA MAIN (À L'EXCL. DES OUTILS ROTATIFS) [01/01/1988-31/12/1994: OUTILS PNEUMATIQUES POUR EMPLOI A LA MAIN, AUTRES QUE ROTATIFS]")</f>
        <v xml:space="preserve">   OUTILS PNEUMATIQUES, POUR EMPLOI À LA MAIN (À L'EXCL. DES OUTILS ROTATIFS) [01/01/1988-31/12/1994: OUTILS PNEUMATIQUES POUR EMPLOI A LA MAIN, AUTRES QUE ROTATIFS]</v>
      </c>
      <c r="C8485">
        <v>1737438</v>
      </c>
      <c r="D8485">
        <v>1155</v>
      </c>
    </row>
    <row r="8486" spans="1:4" x14ac:dyDescent="0.25">
      <c r="A8486" t="str">
        <f>T("   846781")</f>
        <v xml:space="preserve">   846781</v>
      </c>
      <c r="B8486" t="str">
        <f>T("   Tronçonneuses à chaîne pour emploi à la main, à moteur non électrique incorporé")</f>
        <v xml:space="preserve">   Tronçonneuses à chaîne pour emploi à la main, à moteur non électrique incorporé</v>
      </c>
      <c r="C8486">
        <v>288707</v>
      </c>
      <c r="D8486">
        <v>192</v>
      </c>
    </row>
    <row r="8487" spans="1:4" x14ac:dyDescent="0.25">
      <c r="A8487" t="str">
        <f>T("   847110")</f>
        <v xml:space="preserve">   847110</v>
      </c>
      <c r="B8487" t="str">
        <f>T("   Machines automatiques de traitement de l'information, analogiques ou hybrides")</f>
        <v xml:space="preserve">   Machines automatiques de traitement de l'information, analogiques ou hybrides</v>
      </c>
      <c r="C8487">
        <v>48000</v>
      </c>
      <c r="D8487">
        <v>10</v>
      </c>
    </row>
    <row r="8488" spans="1:4" x14ac:dyDescent="0.25">
      <c r="A8488" t="str">
        <f>T("   847149")</f>
        <v xml:space="preserve">   847149</v>
      </c>
      <c r="B8488" t="s">
        <v>434</v>
      </c>
      <c r="C8488">
        <v>631939</v>
      </c>
      <c r="D8488">
        <v>6.8</v>
      </c>
    </row>
    <row r="8489" spans="1:4" x14ac:dyDescent="0.25">
      <c r="A8489" t="str">
        <f>T("   847150")</f>
        <v xml:space="preserve">   847150</v>
      </c>
      <c r="B8489" t="s">
        <v>435</v>
      </c>
      <c r="C8489">
        <v>10802081</v>
      </c>
      <c r="D8489">
        <v>200</v>
      </c>
    </row>
    <row r="8490" spans="1:4" x14ac:dyDescent="0.25">
      <c r="A8490" t="str">
        <f>T("   847160")</f>
        <v xml:space="preserve">   847160</v>
      </c>
      <c r="B8490" t="str">
        <f>T("   UNITÉS D'ENTRÉE OU DE SORTIE POUR MACHINES AUTOMATIQUES DE TRAITEMENT DE L'INFORMATION, POUVANT COMPORTER, SOUS LA MÊME ENVELOPPE, DES UNITÉS DE MÉMOIRE")</f>
        <v xml:space="preserve">   UNITÉS D'ENTRÉE OU DE SORTIE POUR MACHINES AUTOMATIQUES DE TRAITEMENT DE L'INFORMATION, POUVANT COMPORTER, SOUS LA MÊME ENVELOPPE, DES UNITÉS DE MÉMOIRE</v>
      </c>
      <c r="C8490">
        <v>7779868</v>
      </c>
      <c r="D8490">
        <v>139</v>
      </c>
    </row>
    <row r="8491" spans="1:4" x14ac:dyDescent="0.25">
      <c r="A8491" t="str">
        <f>T("   847170")</f>
        <v xml:space="preserve">   847170</v>
      </c>
      <c r="B8491" t="str">
        <f>T("   UNITÉS DE MÉMOIRE POUR MACHINES AUTOMATIQUES DE TRAITEMENT DE L'INFORMATION")</f>
        <v xml:space="preserve">   UNITÉS DE MÉMOIRE POUR MACHINES AUTOMATIQUES DE TRAITEMENT DE L'INFORMATION</v>
      </c>
      <c r="C8491">
        <v>192949</v>
      </c>
      <c r="D8491">
        <v>1.4</v>
      </c>
    </row>
    <row r="8492" spans="1:4" x14ac:dyDescent="0.25">
      <c r="A8492" t="str">
        <f>T("   847180")</f>
        <v xml:space="preserve">   847180</v>
      </c>
      <c r="B8492" t="str">
        <f>T("   Unités de machines automatiques de traitement de l'information, numériques (à l'excl. des unités de traitement, unités d'entrée ou de sortie et unités de mémoire)")</f>
        <v xml:space="preserve">   Unités de machines automatiques de traitement de l'information, numériques (à l'excl. des unités de traitement, unités d'entrée ou de sortie et unités de mémoire)</v>
      </c>
      <c r="C8492">
        <v>7516941</v>
      </c>
      <c r="D8492">
        <v>210.5</v>
      </c>
    </row>
    <row r="8493" spans="1:4" x14ac:dyDescent="0.25">
      <c r="A8493" t="str">
        <f>T("   847190")</f>
        <v xml:space="preserve">   847190</v>
      </c>
      <c r="B8493"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8493">
        <v>20493363</v>
      </c>
      <c r="D8493">
        <v>329.6</v>
      </c>
    </row>
    <row r="8494" spans="1:4" x14ac:dyDescent="0.25">
      <c r="A8494" t="str">
        <f>T("   847990")</f>
        <v xml:space="preserve">   847990</v>
      </c>
      <c r="B8494" t="str">
        <f>T("   Parties de machines et appareils, y.c. les appareils mécaniques, n.d.a.")</f>
        <v xml:space="preserve">   Parties de machines et appareils, y.c. les appareils mécaniques, n.d.a.</v>
      </c>
      <c r="C8494">
        <v>11295651</v>
      </c>
      <c r="D8494">
        <v>305</v>
      </c>
    </row>
    <row r="8495" spans="1:4" x14ac:dyDescent="0.25">
      <c r="A8495" t="str">
        <f>T("   848230")</f>
        <v xml:space="preserve">   848230</v>
      </c>
      <c r="B8495" t="str">
        <f>T("   Roulements à rouleaux en forme de tonneau")</f>
        <v xml:space="preserve">   Roulements à rouleaux en forme de tonneau</v>
      </c>
      <c r="C8495">
        <v>527333</v>
      </c>
      <c r="D8495">
        <v>14</v>
      </c>
    </row>
    <row r="8496" spans="1:4" x14ac:dyDescent="0.25">
      <c r="A8496" t="str">
        <f>T("   848280")</f>
        <v xml:space="preserve">   848280</v>
      </c>
      <c r="B8496" t="s">
        <v>442</v>
      </c>
      <c r="C8496">
        <v>587740</v>
      </c>
      <c r="D8496">
        <v>507</v>
      </c>
    </row>
    <row r="8497" spans="1:4" x14ac:dyDescent="0.25">
      <c r="A8497" t="str">
        <f>T("   848330")</f>
        <v xml:space="preserve">   848330</v>
      </c>
      <c r="B8497" t="str">
        <f>T("   Paliers pour machines, sans roulements incorporés; coussinets et coquilles de coussinets pour machines")</f>
        <v xml:space="preserve">   Paliers pour machines, sans roulements incorporés; coussinets et coquilles de coussinets pour machines</v>
      </c>
      <c r="C8497">
        <v>85275</v>
      </c>
      <c r="D8497">
        <v>1</v>
      </c>
    </row>
    <row r="8498" spans="1:4" x14ac:dyDescent="0.25">
      <c r="A8498" t="str">
        <f>T("   848390")</f>
        <v xml:space="preserve">   848390</v>
      </c>
      <c r="B8498" t="str">
        <f>T("   Roues dentées et autres organes élémentaires de transmission présentés séparément; parties d'organes mécaniques, d'organes de transmission, d'engrenages, de variateurs de vitesses, d'organes d'accouplement et d'autres organes du n° 8483, n.d.a.")</f>
        <v xml:space="preserve">   Roues dentées et autres organes élémentaires de transmission présentés séparément; parties d'organes mécaniques, d'organes de transmission, d'engrenages, de variateurs de vitesses, d'organes d'accouplement et d'autres organes du n° 8483, n.d.a.</v>
      </c>
      <c r="C8498">
        <v>1757881</v>
      </c>
      <c r="D8498">
        <v>95</v>
      </c>
    </row>
    <row r="8499" spans="1:4" x14ac:dyDescent="0.25">
      <c r="A8499" t="str">
        <f>T("   850152")</f>
        <v xml:space="preserve">   850152</v>
      </c>
      <c r="B8499" t="str">
        <f>T("   Moteurs à courant alternatif, polyphasés, puissance &gt; 750 W mais &lt;= 75 kW")</f>
        <v xml:space="preserve">   Moteurs à courant alternatif, polyphasés, puissance &gt; 750 W mais &lt;= 75 kW</v>
      </c>
      <c r="C8499">
        <v>273897</v>
      </c>
      <c r="D8499">
        <v>6</v>
      </c>
    </row>
    <row r="8500" spans="1:4" x14ac:dyDescent="0.25">
      <c r="A8500" t="str">
        <f>T("   850212")</f>
        <v xml:space="preserve">   850212</v>
      </c>
      <c r="B8500" t="str">
        <f>T("   GROUPES ÉLECTROGÈNES À MOTEUR À PISTON À ALLUMAGE PAR COMPRESSION 'MOTEURS DIESEL OU SEMI-DIESEL', PUISSANCE &gt; 75 KVA MAIS &lt;= 375 KVA")</f>
        <v xml:space="preserve">   GROUPES ÉLECTROGÈNES À MOTEUR À PISTON À ALLUMAGE PAR COMPRESSION 'MOTEURS DIESEL OU SEMI-DIESEL', PUISSANCE &gt; 75 KVA MAIS &lt;= 375 KVA</v>
      </c>
      <c r="C8500">
        <v>8612285</v>
      </c>
      <c r="D8500">
        <v>5726</v>
      </c>
    </row>
    <row r="8501" spans="1:4" x14ac:dyDescent="0.25">
      <c r="A8501" t="str">
        <f>T("   850300")</f>
        <v xml:space="preserve">   850300</v>
      </c>
      <c r="B8501" t="str">
        <f>T("   Parties reconnaissables comme étant exclusivement ou principalement destinées aux moteurs et machines génératrices électriques, groupes électrogènes ou convertisseurs rotatifs électriques n.d.a.")</f>
        <v xml:space="preserve">   Parties reconnaissables comme étant exclusivement ou principalement destinées aux moteurs et machines génératrices électriques, groupes électrogènes ou convertisseurs rotatifs électriques n.d.a.</v>
      </c>
      <c r="C8501">
        <v>858127</v>
      </c>
      <c r="D8501">
        <v>5</v>
      </c>
    </row>
    <row r="8502" spans="1:4" x14ac:dyDescent="0.25">
      <c r="A8502" t="str">
        <f>T("   850780")</f>
        <v xml:space="preserve">   850780</v>
      </c>
      <c r="B8502" t="str">
        <f>T("   Accumulateurs électriques (sauf hors d'usage et autres qu'au plomb, au nickel-cadmium ou au nickel-fer)")</f>
        <v xml:space="preserve">   Accumulateurs électriques (sauf hors d'usage et autres qu'au plomb, au nickel-cadmium ou au nickel-fer)</v>
      </c>
      <c r="C8502">
        <v>48384438</v>
      </c>
      <c r="D8502">
        <v>21224</v>
      </c>
    </row>
    <row r="8503" spans="1:4" x14ac:dyDescent="0.25">
      <c r="A8503" t="str">
        <f>T("   850910")</f>
        <v xml:space="preserve">   850910</v>
      </c>
      <c r="B8503" t="str">
        <f>T("   Aspirateurs de poussières, y.c. les aspirateurs de matières sèches et de matières liquides, à moteur électrique incorporé, à usage domestique")</f>
        <v xml:space="preserve">   Aspirateurs de poussières, y.c. les aspirateurs de matières sèches et de matières liquides, à moteur électrique incorporé, à usage domestique</v>
      </c>
      <c r="C8503">
        <v>80000</v>
      </c>
      <c r="D8503">
        <v>75</v>
      </c>
    </row>
    <row r="8504" spans="1:4" x14ac:dyDescent="0.25">
      <c r="A8504" t="str">
        <f>T("   851150")</f>
        <v xml:space="preserve">   851150</v>
      </c>
      <c r="B8504" t="str">
        <f>T("   Génératrices pour moteurs à allumage par étincelles ou par compression (autres que dynamos-magnétos et démarreurs fonctionnant comme génératrices)")</f>
        <v xml:space="preserve">   Génératrices pour moteurs à allumage par étincelles ou par compression (autres que dynamos-magnétos et démarreurs fonctionnant comme génératrices)</v>
      </c>
      <c r="C8504">
        <v>1414250</v>
      </c>
      <c r="D8504">
        <v>16</v>
      </c>
    </row>
    <row r="8505" spans="1:4" x14ac:dyDescent="0.25">
      <c r="A8505" t="str">
        <f>T("   851220")</f>
        <v xml:space="preserve">   851220</v>
      </c>
      <c r="B8505" t="str">
        <f>T("   Appareils électriques d'éclairage ou de signalisation visuelle, pour automobiles (à l'excl. des lampes du n° 8539)")</f>
        <v xml:space="preserve">   Appareils électriques d'éclairage ou de signalisation visuelle, pour automobiles (à l'excl. des lampes du n° 8539)</v>
      </c>
      <c r="C8505">
        <v>81995</v>
      </c>
      <c r="D8505">
        <v>3</v>
      </c>
    </row>
    <row r="8506" spans="1:4" x14ac:dyDescent="0.25">
      <c r="A8506" t="str">
        <f>T("   851780")</f>
        <v xml:space="preserve">   851780</v>
      </c>
      <c r="B8506" t="s">
        <v>453</v>
      </c>
      <c r="C8506">
        <v>7618078</v>
      </c>
      <c r="D8506">
        <v>210</v>
      </c>
    </row>
    <row r="8507" spans="1:4" x14ac:dyDescent="0.25">
      <c r="A8507" t="str">
        <f>T("   851790")</f>
        <v xml:space="preserve">   851790</v>
      </c>
      <c r="B8507" t="s">
        <v>454</v>
      </c>
      <c r="C8507">
        <v>43085550</v>
      </c>
      <c r="D8507">
        <v>161</v>
      </c>
    </row>
    <row r="8508" spans="1:4" x14ac:dyDescent="0.25">
      <c r="A8508" t="str">
        <f>T("   851999")</f>
        <v xml:space="preserve">   851999</v>
      </c>
      <c r="B8508" t="str">
        <f>T("   Appareils de reproduction du son, n'incorporant pas de dispositif d'enregistrement du son (autres que tourne-disques, électrophones commandés par l'introduction d'une pièce de monnaie ou d'un jeton, machines à dicter et lecteurs de cassettes)")</f>
        <v xml:space="preserve">   Appareils de reproduction du son, n'incorporant pas de dispositif d'enregistrement du son (autres que tourne-disques, électrophones commandés par l'introduction d'une pièce de monnaie ou d'un jeton, machines à dicter et lecteurs de cassettes)</v>
      </c>
      <c r="C8508">
        <v>250000</v>
      </c>
      <c r="D8508">
        <v>150</v>
      </c>
    </row>
    <row r="8509" spans="1:4" x14ac:dyDescent="0.25">
      <c r="A8509" t="str">
        <f>T("   852812")</f>
        <v xml:space="preserve">   852812</v>
      </c>
      <c r="B8509"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8509">
        <v>2502736</v>
      </c>
      <c r="D8509">
        <v>8100</v>
      </c>
    </row>
    <row r="8510" spans="1:4" x14ac:dyDescent="0.25">
      <c r="A8510" t="str">
        <f>T("   853080")</f>
        <v xml:space="preserve">   853080</v>
      </c>
      <c r="B8510" t="str">
        <f>T("   Appareils électriques de signalisation (autres que pour la transmission de messages), de sécurité, de contrôle ou de commande (autres que pour voies ferrées ou simil. et que les appareils mécaniques ou électromécaniques du n° 8608)")</f>
        <v xml:space="preserve">   Appareils électriques de signalisation (autres que pour la transmission de messages), de sécurité, de contrôle ou de commande (autres que pour voies ferrées ou simil. et que les appareils mécaniques ou électromécaniques du n° 8608)</v>
      </c>
      <c r="C8510">
        <v>1296971</v>
      </c>
      <c r="D8510">
        <v>171</v>
      </c>
    </row>
    <row r="8511" spans="1:4" x14ac:dyDescent="0.25">
      <c r="A8511" t="str">
        <f>T("   853641")</f>
        <v xml:space="preserve">   853641</v>
      </c>
      <c r="B8511" t="str">
        <f>T("   Relais pour une tension &lt;= 60 V")</f>
        <v xml:space="preserve">   Relais pour une tension &lt;= 60 V</v>
      </c>
      <c r="C8511">
        <v>445751</v>
      </c>
      <c r="D8511">
        <v>17</v>
      </c>
    </row>
    <row r="8512" spans="1:4" x14ac:dyDescent="0.25">
      <c r="A8512" t="str">
        <f>T("   853650")</f>
        <v xml:space="preserve">   853650</v>
      </c>
      <c r="B8512" t="str">
        <f>T("   Interrupteurs, sectionneurs et commutateurs, pour une tension &lt;= 1.000 V (autres que relais et disjoncteurs)")</f>
        <v xml:space="preserve">   Interrupteurs, sectionneurs et commutateurs, pour une tension &lt;= 1.000 V (autres que relais et disjoncteurs)</v>
      </c>
      <c r="C8512">
        <v>89486</v>
      </c>
      <c r="D8512">
        <v>10</v>
      </c>
    </row>
    <row r="8513" spans="1:4" x14ac:dyDescent="0.25">
      <c r="A8513" t="str">
        <f>T("   853929")</f>
        <v xml:space="preserve">   853929</v>
      </c>
      <c r="B8513" t="str">
        <f>T("   Lampes et tubes à incandescence électriques (autres que lampes et tubes halogènes, au tungstène, lampes d'une puissance &lt;= 200 W et pour une tension &gt; 100 V, et lampes à rayons ultraviolets ou infrarouges)")</f>
        <v xml:space="preserve">   Lampes et tubes à incandescence électriques (autres que lampes et tubes halogènes, au tungstène, lampes d'une puissance &lt;= 200 W et pour une tension &gt; 100 V, et lampes à rayons ultraviolets ou infrarouges)</v>
      </c>
      <c r="C8513">
        <v>1094778</v>
      </c>
      <c r="D8513">
        <v>3</v>
      </c>
    </row>
    <row r="8514" spans="1:4" x14ac:dyDescent="0.25">
      <c r="A8514" t="str">
        <f>T("   854449")</f>
        <v xml:space="preserve">   854449</v>
      </c>
      <c r="B8514" t="str">
        <f>T("   CONDUCTEURS ÉLECTRIQUES, POUR TENSION &lt;= 1.000 V, ISOLÉS, SANS PIÈCES DE CONNEXION, N.D.A.")</f>
        <v xml:space="preserve">   CONDUCTEURS ÉLECTRIQUES, POUR TENSION &lt;= 1.000 V, ISOLÉS, SANS PIÈCES DE CONNEXION, N.D.A.</v>
      </c>
      <c r="C8514">
        <v>177974</v>
      </c>
      <c r="D8514">
        <v>100</v>
      </c>
    </row>
    <row r="8515" spans="1:4" x14ac:dyDescent="0.25">
      <c r="A8515" t="str">
        <f>T("   854459")</f>
        <v xml:space="preserve">   854459</v>
      </c>
      <c r="B8515" t="str">
        <f>T("   Conducteurs électriques, pour tension &gt; 80 V mais &lt;= 1.000 V, sans pièces de connexion, n.d.a.")</f>
        <v xml:space="preserve">   Conducteurs électriques, pour tension &gt; 80 V mais &lt;= 1.000 V, sans pièces de connexion, n.d.a.</v>
      </c>
      <c r="C8515">
        <v>127613</v>
      </c>
      <c r="D8515">
        <v>2</v>
      </c>
    </row>
    <row r="8516" spans="1:4" x14ac:dyDescent="0.25">
      <c r="A8516" t="str">
        <f>T("   870120")</f>
        <v xml:space="preserve">   870120</v>
      </c>
      <c r="B8516" t="str">
        <f>T("   Tracteurs routiers pour semi-remorques")</f>
        <v xml:space="preserve">   Tracteurs routiers pour semi-remorques</v>
      </c>
      <c r="C8516">
        <v>392372433</v>
      </c>
      <c r="D8516">
        <v>1027669</v>
      </c>
    </row>
    <row r="8517" spans="1:4" x14ac:dyDescent="0.25">
      <c r="A8517" t="str">
        <f>T("   870210")</f>
        <v xml:space="preserve">   870210</v>
      </c>
      <c r="B8517" t="s">
        <v>472</v>
      </c>
      <c r="C8517">
        <v>38400000</v>
      </c>
      <c r="D8517">
        <v>43155</v>
      </c>
    </row>
    <row r="8518" spans="1:4" x14ac:dyDescent="0.25">
      <c r="A8518" t="str">
        <f>T("   870290")</f>
        <v xml:space="preserve">   870290</v>
      </c>
      <c r="B8518" t="s">
        <v>473</v>
      </c>
      <c r="C8518">
        <v>150925026</v>
      </c>
      <c r="D8518">
        <v>173990</v>
      </c>
    </row>
    <row r="8519" spans="1:4" x14ac:dyDescent="0.25">
      <c r="A8519" t="str">
        <f>T("   870322")</f>
        <v xml:space="preserve">   870322</v>
      </c>
      <c r="B8519" t="s">
        <v>475</v>
      </c>
      <c r="C8519">
        <v>3382566980</v>
      </c>
      <c r="D8519">
        <v>2578099</v>
      </c>
    </row>
    <row r="8520" spans="1:4" x14ac:dyDescent="0.25">
      <c r="A8520" t="str">
        <f>T("   870323")</f>
        <v xml:space="preserve">   870323</v>
      </c>
      <c r="B8520" t="s">
        <v>476</v>
      </c>
      <c r="C8520">
        <v>483922438</v>
      </c>
      <c r="D8520">
        <v>148182</v>
      </c>
    </row>
    <row r="8521" spans="1:4" x14ac:dyDescent="0.25">
      <c r="A8521" t="str">
        <f>T("   870324")</f>
        <v xml:space="preserve">   870324</v>
      </c>
      <c r="B8521" t="s">
        <v>477</v>
      </c>
      <c r="C8521">
        <v>165211099</v>
      </c>
      <c r="D8521">
        <v>25655</v>
      </c>
    </row>
    <row r="8522" spans="1:4" x14ac:dyDescent="0.25">
      <c r="A8522" t="str">
        <f>T("   870331")</f>
        <v xml:space="preserve">   870331</v>
      </c>
      <c r="B8522" t="s">
        <v>478</v>
      </c>
      <c r="C8522">
        <v>16811205</v>
      </c>
      <c r="D8522">
        <v>1600</v>
      </c>
    </row>
    <row r="8523" spans="1:4" x14ac:dyDescent="0.25">
      <c r="A8523" t="str">
        <f>T("   870332")</f>
        <v xml:space="preserve">   870332</v>
      </c>
      <c r="B8523" t="s">
        <v>479</v>
      </c>
      <c r="C8523">
        <v>33972394</v>
      </c>
      <c r="D8523">
        <v>5330</v>
      </c>
    </row>
    <row r="8524" spans="1:4" x14ac:dyDescent="0.25">
      <c r="A8524" t="str">
        <f>T("   870333")</f>
        <v xml:space="preserve">   870333</v>
      </c>
      <c r="B8524" t="s">
        <v>480</v>
      </c>
      <c r="C8524">
        <v>18946805</v>
      </c>
      <c r="D8524">
        <v>4120</v>
      </c>
    </row>
    <row r="8525" spans="1:4" x14ac:dyDescent="0.25">
      <c r="A8525" t="str">
        <f>T("   870390")</f>
        <v xml:space="preserve">   870390</v>
      </c>
      <c r="B8525" t="str">
        <f>T("   Voitures de tourisme et autres véhicules principalement conçus pour le transport de personnes, y.c. les voitures du type 'break' et les voitures de course (sauf véhicules pour se déplacer sur la neige et autres véhicules spéciaux du n° 8703.10)")</f>
        <v xml:space="preserve">   Voitures de tourisme et autres véhicules principalement conçus pour le transport de personnes, y.c. les voitures du type 'break' et les voitures de course (sauf véhicules pour se déplacer sur la neige et autres véhicules spéciaux du n° 8703.10)</v>
      </c>
      <c r="C8525">
        <v>23049200</v>
      </c>
      <c r="D8525">
        <v>2646</v>
      </c>
    </row>
    <row r="8526" spans="1:4" x14ac:dyDescent="0.25">
      <c r="A8526" t="str">
        <f>T("   870421")</f>
        <v xml:space="preserve">   870421</v>
      </c>
      <c r="B8526" t="s">
        <v>481</v>
      </c>
      <c r="C8526">
        <v>507657343</v>
      </c>
      <c r="D8526">
        <v>463111</v>
      </c>
    </row>
    <row r="8527" spans="1:4" x14ac:dyDescent="0.25">
      <c r="A8527" t="str">
        <f>T("   870422")</f>
        <v xml:space="preserve">   870422</v>
      </c>
      <c r="B8527" t="s">
        <v>482</v>
      </c>
      <c r="C8527">
        <v>161831142</v>
      </c>
      <c r="D8527">
        <v>478717</v>
      </c>
    </row>
    <row r="8528" spans="1:4" x14ac:dyDescent="0.25">
      <c r="A8528" t="str">
        <f>T("   870431")</f>
        <v xml:space="preserve">   870431</v>
      </c>
      <c r="B8528" t="s">
        <v>484</v>
      </c>
      <c r="C8528">
        <v>88937445</v>
      </c>
      <c r="D8528">
        <v>102909</v>
      </c>
    </row>
    <row r="8529" spans="1:4" x14ac:dyDescent="0.25">
      <c r="A8529" t="str">
        <f>T("   870540")</f>
        <v xml:space="preserve">   870540</v>
      </c>
      <c r="B8529" t="str">
        <f>T("   Camions-bétonnières")</f>
        <v xml:space="preserve">   Camions-bétonnières</v>
      </c>
      <c r="C8529">
        <v>9335645</v>
      </c>
      <c r="D8529">
        <v>14349</v>
      </c>
    </row>
    <row r="8530" spans="1:4" x14ac:dyDescent="0.25">
      <c r="A8530" t="str">
        <f>T("   870839")</f>
        <v xml:space="preserve">   870839</v>
      </c>
      <c r="B8530" t="str">
        <f>T("   FREINS ET SERVO-FREINS, ET LEURS PARTIES, POUR DE TRACTEURS, VÉHICULES POUR LE TRANSPORT DE &gt;= 10 PERSONNES, CHAUFFEUR INCLUS, VOITURES DE TOURISME, VÉHICULES POUR LE TRANSPORT DE MARCHANDISES ET VÉHICULES À USAGES SPÉCIAUX, N.D.A.")</f>
        <v xml:space="preserve">   FREINS ET SERVO-FREINS, ET LEURS PARTIES, POUR DE TRACTEURS, VÉHICULES POUR LE TRANSPORT DE &gt;= 10 PERSONNES, CHAUFFEUR INCLUS, VOITURES DE TOURISME, VÉHICULES POUR LE TRANSPORT DE MARCHANDISES ET VÉHICULES À USAGES SPÉCIAUX, N.D.A.</v>
      </c>
      <c r="C8530">
        <v>896041</v>
      </c>
      <c r="D8530">
        <v>30</v>
      </c>
    </row>
    <row r="8531" spans="1:4" x14ac:dyDescent="0.25">
      <c r="A8531" t="str">
        <f>T("   870840")</f>
        <v xml:space="preserve">   870840</v>
      </c>
      <c r="B8531" t="str">
        <f>T("   BOÎTES DE VITESSE ET LEURS PARTIES, POUR TRACTEURS, VÉHICULES POUR LE TRANSPORT DE &gt;= 10 PERSONNES, CHAUFFEUR INCLUS, VOITURES DE TOURISME, VÉHICULES POUR LE TRANSPORT DE MARCHANDISES ET VÉHICULES À USAGES SPÉCIAUX, N.D.A.")</f>
        <v xml:space="preserve">   BOÎTES DE VITESSE ET LEURS PARTIES, POUR TRACTEURS, VÉHICULES POUR LE TRANSPORT DE &gt;= 10 PERSONNES, CHAUFFEUR INCLUS, VOITURES DE TOURISME, VÉHICULES POUR LE TRANSPORT DE MARCHANDISES ET VÉHICULES À USAGES SPÉCIAUX, N.D.A.</v>
      </c>
      <c r="C8531">
        <v>100000</v>
      </c>
      <c r="D8531">
        <v>360</v>
      </c>
    </row>
    <row r="8532" spans="1:4" x14ac:dyDescent="0.25">
      <c r="A8532" t="str">
        <f>T("   870899")</f>
        <v xml:space="preserve">   870899</v>
      </c>
      <c r="B8532"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8532">
        <v>32819258</v>
      </c>
      <c r="D8532">
        <v>1857.5</v>
      </c>
    </row>
    <row r="8533" spans="1:4" x14ac:dyDescent="0.25">
      <c r="A8533" t="str">
        <f>T("   871120")</f>
        <v xml:space="preserve">   871120</v>
      </c>
      <c r="B8533" t="str">
        <f>T("   Motocycles à moteur à piston alternatif, cylindrée &gt; 50 cm³ mais &lt;= 250 cm³")</f>
        <v xml:space="preserve">   Motocycles à moteur à piston alternatif, cylindrée &gt; 50 cm³ mais &lt;= 250 cm³</v>
      </c>
      <c r="C8533">
        <v>450000</v>
      </c>
      <c r="D8533">
        <v>700</v>
      </c>
    </row>
    <row r="8534" spans="1:4" x14ac:dyDescent="0.25">
      <c r="A8534" t="str">
        <f>T("   871130")</f>
        <v xml:space="preserve">   871130</v>
      </c>
      <c r="B8534" t="str">
        <f>T("   Motocycles à moteur à piston alternatif, cylindrée &gt; 250 cm³ mais &lt;= 500 cm³")</f>
        <v xml:space="preserve">   Motocycles à moteur à piston alternatif, cylindrée &gt; 250 cm³ mais &lt;= 500 cm³</v>
      </c>
      <c r="C8534">
        <v>490100</v>
      </c>
      <c r="D8534">
        <v>800</v>
      </c>
    </row>
    <row r="8535" spans="1:4" x14ac:dyDescent="0.25">
      <c r="A8535" t="str">
        <f>T("   871190")</f>
        <v xml:space="preserve">   871190</v>
      </c>
      <c r="B8535" t="str">
        <f>T("   Side-cars")</f>
        <v xml:space="preserve">   Side-cars</v>
      </c>
      <c r="C8535">
        <v>225000</v>
      </c>
      <c r="D8535">
        <v>300</v>
      </c>
    </row>
    <row r="8536" spans="1:4" x14ac:dyDescent="0.25">
      <c r="A8536" t="str">
        <f>T("   871200")</f>
        <v xml:space="preserve">   871200</v>
      </c>
      <c r="B8536" t="str">
        <f>T("   BICYCLETTES ET AUTRES CYCLES, -Y.C. LES TRIPORTEURS-, SANS MOTEUR")</f>
        <v xml:space="preserve">   BICYCLETTES ET AUTRES CYCLES, -Y.C. LES TRIPORTEURS-, SANS MOTEUR</v>
      </c>
      <c r="C8536">
        <v>800000</v>
      </c>
      <c r="D8536">
        <v>8100</v>
      </c>
    </row>
    <row r="8537" spans="1:4" x14ac:dyDescent="0.25">
      <c r="A8537" t="str">
        <f>T("   871620")</f>
        <v xml:space="preserve">   871620</v>
      </c>
      <c r="B8537" t="str">
        <f>T("   Remorques et semi-remorques autochargeuses ou autodéchargeuses, pour usages agricoles")</f>
        <v xml:space="preserve">   Remorques et semi-remorques autochargeuses ou autodéchargeuses, pour usages agricoles</v>
      </c>
      <c r="C8537">
        <v>2000000</v>
      </c>
      <c r="D8537">
        <v>7492</v>
      </c>
    </row>
    <row r="8538" spans="1:4" x14ac:dyDescent="0.25">
      <c r="A8538" t="str">
        <f>T("   871640")</f>
        <v xml:space="preserve">   871640</v>
      </c>
      <c r="B8538" t="str">
        <f>T("   Remorques ne circulant pas sur rails (à l'excl. des remorques pour le transport de marchandises et remorques pour l'habitation ou le camping, du type caravane)")</f>
        <v xml:space="preserve">   Remorques ne circulant pas sur rails (à l'excl. des remorques pour le transport de marchandises et remorques pour l'habitation ou le camping, du type caravane)</v>
      </c>
      <c r="C8538">
        <v>208254237</v>
      </c>
      <c r="D8538">
        <v>581652</v>
      </c>
    </row>
    <row r="8539" spans="1:4" x14ac:dyDescent="0.25">
      <c r="A8539" t="str">
        <f>T("   900999")</f>
        <v xml:space="preserve">   900999</v>
      </c>
      <c r="B8539" t="str">
        <f>T("   Parties et accessoires d'appareils de photocopie et de thermocopie, n.d.a. (à l'excl. des dispositifs automatiques d'alimentation en documents, des dispositifs d'alimentation en papier et des dispositifs de tri)")</f>
        <v xml:space="preserve">   Parties et accessoires d'appareils de photocopie et de thermocopie, n.d.a. (à l'excl. des dispositifs automatiques d'alimentation en documents, des dispositifs d'alimentation en papier et des dispositifs de tri)</v>
      </c>
      <c r="C8539">
        <v>5775370</v>
      </c>
      <c r="D8539">
        <v>168</v>
      </c>
    </row>
    <row r="8540" spans="1:4" x14ac:dyDescent="0.25">
      <c r="A8540" t="str">
        <f>T("   901580")</f>
        <v xml:space="preserve">   901580</v>
      </c>
      <c r="B8540" t="s">
        <v>496</v>
      </c>
      <c r="C8540">
        <v>51689174</v>
      </c>
      <c r="D8540">
        <v>1631</v>
      </c>
    </row>
    <row r="8541" spans="1:4" x14ac:dyDescent="0.25">
      <c r="A8541" t="str">
        <f>T("   901590")</f>
        <v xml:space="preserve">   901590</v>
      </c>
      <c r="B8541" t="str">
        <f>T("   Parties et accessoires des instruments et appareils de géodésie, de topographie, d'arpentage, de nivellement, de photogrammétrie, d'hydrographie, d'océanographie, d'hydrologie, de météorologie ou de géophysique ainsi que des télémètres, n.d.a.")</f>
        <v xml:space="preserve">   Parties et accessoires des instruments et appareils de géodésie, de topographie, d'arpentage, de nivellement, de photogrammétrie, d'hydrographie, d'océanographie, d'hydrologie, de météorologie ou de géophysique ainsi que des télémètres, n.d.a.</v>
      </c>
      <c r="C8541">
        <v>2056526</v>
      </c>
      <c r="D8541">
        <v>302</v>
      </c>
    </row>
    <row r="8542" spans="1:4" x14ac:dyDescent="0.25">
      <c r="A8542" t="str">
        <f>T("   901780")</f>
        <v xml:space="preserve">   901780</v>
      </c>
      <c r="B8542" t="str">
        <f>T("   Instruments de mesure de longueurs, pour emploi à la main, n.d.a.")</f>
        <v xml:space="preserve">   Instruments de mesure de longueurs, pour emploi à la main, n.d.a.</v>
      </c>
      <c r="C8542">
        <v>465732</v>
      </c>
      <c r="D8542">
        <v>8.5</v>
      </c>
    </row>
    <row r="8543" spans="1:4" x14ac:dyDescent="0.25">
      <c r="A8543" t="str">
        <f>T("   901831")</f>
        <v xml:space="preserve">   901831</v>
      </c>
      <c r="B8543" t="str">
        <f>T("   Seringues, avec ou sans aiguilles, pour la médecine")</f>
        <v xml:space="preserve">   Seringues, avec ou sans aiguilles, pour la médecine</v>
      </c>
      <c r="C8543">
        <v>1855055</v>
      </c>
      <c r="D8543">
        <v>213</v>
      </c>
    </row>
    <row r="8544" spans="1:4" x14ac:dyDescent="0.25">
      <c r="A8544" t="str">
        <f>T("   901839")</f>
        <v xml:space="preserve">   901839</v>
      </c>
      <c r="B8544" t="str">
        <f>T("   AIGUILLES, CTHEÉTERS, CANULES ET SIMIL. POUR LA MÉDECINE (SAUF SERINGUES, AIGUILLES TUBULAIRES EN MÉTAL ET AIGUILLES À SUTURES)")</f>
        <v xml:space="preserve">   AIGUILLES, CTHEÉTERS, CANULES ET SIMIL. POUR LA MÉDECINE (SAUF SERINGUES, AIGUILLES TUBULAIRES EN MÉTAL ET AIGUILLES À SUTURES)</v>
      </c>
      <c r="C8544">
        <v>7206376</v>
      </c>
      <c r="D8544">
        <v>859</v>
      </c>
    </row>
    <row r="8545" spans="1:4" x14ac:dyDescent="0.25">
      <c r="A8545" t="str">
        <f>T("   901890")</f>
        <v xml:space="preserve">   901890</v>
      </c>
      <c r="B8545" t="str">
        <f>T("   Instruments et appareils pour la médecine, la chirurgie ou l'art vétérinaire, n.d.a.")</f>
        <v xml:space="preserve">   Instruments et appareils pour la médecine, la chirurgie ou l'art vétérinaire, n.d.a.</v>
      </c>
      <c r="C8545">
        <v>2892784</v>
      </c>
      <c r="D8545">
        <v>294</v>
      </c>
    </row>
    <row r="8546" spans="1:4" x14ac:dyDescent="0.25">
      <c r="A8546" t="str">
        <f>T("   902580")</f>
        <v xml:space="preserve">   902580</v>
      </c>
      <c r="B8546" t="s">
        <v>501</v>
      </c>
      <c r="C8546">
        <v>1176136</v>
      </c>
      <c r="D8546">
        <v>8.5</v>
      </c>
    </row>
    <row r="8547" spans="1:4" x14ac:dyDescent="0.25">
      <c r="A8547" t="str">
        <f>T("   902780")</f>
        <v xml:space="preserve">   902780</v>
      </c>
      <c r="B8547" t="str">
        <f>T("   Instruments et appareils pour analyses physiques ou chimiques, ou pour essais de viscosité, de porosité, de dilatation, de tension superficielle ou simil. ou pour mesures calorimétriques ou acoustiques ou photométriques, n.d.a.")</f>
        <v xml:space="preserve">   Instruments et appareils pour analyses physiques ou chimiques, ou pour essais de viscosité, de porosité, de dilatation, de tension superficielle ou simil. ou pour mesures calorimétriques ou acoustiques ou photométriques, n.d.a.</v>
      </c>
      <c r="C8547">
        <v>29387566</v>
      </c>
      <c r="D8547">
        <v>484</v>
      </c>
    </row>
    <row r="8548" spans="1:4" x14ac:dyDescent="0.25">
      <c r="A8548" t="str">
        <f>T("   903180")</f>
        <v xml:space="preserve">   903180</v>
      </c>
      <c r="B8548" t="str">
        <f>T("   INSTRUMENTS, APPAREILS ET MACHINES DE MESURE OU DE CONTRÔLE, NON-OPTIQUES, N.D.A. DANS LE PRÉSENT CHAPITRE")</f>
        <v xml:space="preserve">   INSTRUMENTS, APPAREILS ET MACHINES DE MESURE OU DE CONTRÔLE, NON-OPTIQUES, N.D.A. DANS LE PRÉSENT CHAPITRE</v>
      </c>
      <c r="C8548">
        <v>252574</v>
      </c>
      <c r="D8548">
        <v>100</v>
      </c>
    </row>
    <row r="8549" spans="1:4" x14ac:dyDescent="0.25">
      <c r="A8549" t="str">
        <f>T("   940120")</f>
        <v xml:space="preserve">   940120</v>
      </c>
      <c r="B8549" t="str">
        <f>T("   Sièges pour véhicules automobiles")</f>
        <v xml:space="preserve">   Sièges pour véhicules automobiles</v>
      </c>
      <c r="C8549">
        <v>1050671</v>
      </c>
      <c r="D8549">
        <v>55</v>
      </c>
    </row>
    <row r="8550" spans="1:4" x14ac:dyDescent="0.25">
      <c r="A8550" t="str">
        <f>T("   940180")</f>
        <v xml:space="preserve">   940180</v>
      </c>
      <c r="B8550" t="str">
        <f>T("   Sièges, n.d.a.")</f>
        <v xml:space="preserve">   Sièges, n.d.a.</v>
      </c>
      <c r="C8550">
        <v>479992</v>
      </c>
      <c r="D8550">
        <v>25</v>
      </c>
    </row>
    <row r="8551" spans="1:4" x14ac:dyDescent="0.25">
      <c r="A8551" t="str">
        <f>T("   940350")</f>
        <v xml:space="preserve">   940350</v>
      </c>
      <c r="B8551" t="str">
        <f>T("   Meubles pour chambres à coucher, en bois (sauf sièges)")</f>
        <v xml:space="preserve">   Meubles pour chambres à coucher, en bois (sauf sièges)</v>
      </c>
      <c r="C8551">
        <v>3700000</v>
      </c>
      <c r="D8551">
        <v>3480</v>
      </c>
    </row>
    <row r="8552" spans="1:4" x14ac:dyDescent="0.25">
      <c r="A8552" t="str">
        <f>T("   940360")</f>
        <v xml:space="preserve">   940360</v>
      </c>
      <c r="B8552" t="str">
        <f>T("   Meubles en bois (autres que pour bureaux, cuisines ou chambres à coucher et autres que sièges)")</f>
        <v xml:space="preserve">   Meubles en bois (autres que pour bureaux, cuisines ou chambres à coucher et autres que sièges)</v>
      </c>
      <c r="C8552">
        <v>2723432</v>
      </c>
      <c r="D8552">
        <v>8039.2</v>
      </c>
    </row>
    <row r="8553" spans="1:4" x14ac:dyDescent="0.25">
      <c r="A8553" t="str">
        <f>T("   940380")</f>
        <v xml:space="preserve">   940380</v>
      </c>
      <c r="B8553" t="str">
        <f>T("   Meubles en rotin, osier, bambou ou autres matières (sauf métal, bois et matières plastiques)")</f>
        <v xml:space="preserve">   Meubles en rotin, osier, bambou ou autres matières (sauf métal, bois et matières plastiques)</v>
      </c>
      <c r="C8553">
        <v>2546022</v>
      </c>
      <c r="D8553">
        <v>3820</v>
      </c>
    </row>
    <row r="8554" spans="1:4" x14ac:dyDescent="0.25">
      <c r="A8554" t="str">
        <f>T("   940540")</f>
        <v xml:space="preserve">   940540</v>
      </c>
      <c r="B8554" t="str">
        <f>T("   Appareils d'éclairage électrique, n.d.a.")</f>
        <v xml:space="preserve">   Appareils d'éclairage électrique, n.d.a.</v>
      </c>
      <c r="C8554">
        <v>100000</v>
      </c>
      <c r="D8554">
        <v>35</v>
      </c>
    </row>
    <row r="8555" spans="1:4" x14ac:dyDescent="0.25">
      <c r="A8555" t="str">
        <f>T("   940560")</f>
        <v xml:space="preserve">   940560</v>
      </c>
      <c r="B8555" t="str">
        <f>T("   Lampes-réclames, enseignes lumineuses, plaques indicatrices lumineuses et articles simil., possédant une source d'éclairage fixée à demeure")</f>
        <v xml:space="preserve">   Lampes-réclames, enseignes lumineuses, plaques indicatrices lumineuses et articles simil., possédant une source d'éclairage fixée à demeure</v>
      </c>
      <c r="C8555">
        <v>27974274</v>
      </c>
      <c r="D8555">
        <v>2294</v>
      </c>
    </row>
    <row r="8556" spans="1:4" x14ac:dyDescent="0.25">
      <c r="A8556" t="str">
        <f>T("   950510")</f>
        <v xml:space="preserve">   950510</v>
      </c>
      <c r="B8556" t="str">
        <f>T("   Articles pour fêtes de Noël (sauf bougies et guirlandes électriques)")</f>
        <v xml:space="preserve">   Articles pour fêtes de Noël (sauf bougies et guirlandes électriques)</v>
      </c>
      <c r="C8556">
        <v>1666634</v>
      </c>
      <c r="D8556">
        <v>58</v>
      </c>
    </row>
    <row r="8557" spans="1:4" x14ac:dyDescent="0.25">
      <c r="A8557" t="str">
        <f>T("   950662")</f>
        <v xml:space="preserve">   950662</v>
      </c>
      <c r="B8557" t="str">
        <f>T("   Ballons et balles gonflables")</f>
        <v xml:space="preserve">   Ballons et balles gonflables</v>
      </c>
      <c r="C8557">
        <v>36202</v>
      </c>
      <c r="D8557">
        <v>22</v>
      </c>
    </row>
    <row r="8558" spans="1:4" x14ac:dyDescent="0.25">
      <c r="A8558" t="str">
        <f>T("   950669")</f>
        <v xml:space="preserve">   950669</v>
      </c>
      <c r="B8558" t="str">
        <f>T("   Ballons et balles (autres que gonflables et autres que balles de golf ou de tennis de table)")</f>
        <v xml:space="preserve">   Ballons et balles (autres que gonflables et autres que balles de golf ou de tennis de table)</v>
      </c>
      <c r="C8558">
        <v>19679</v>
      </c>
      <c r="D8558">
        <v>21</v>
      </c>
    </row>
    <row r="8559" spans="1:4" x14ac:dyDescent="0.25">
      <c r="A8559" t="str">
        <f>T("   960330")</f>
        <v xml:space="preserve">   960330</v>
      </c>
      <c r="B8559" t="str">
        <f>T("   Pinceaux et brosses pour artistes, pinceaux à écrire et pinceaux simil. pour l'application des produits cosmétiques")</f>
        <v xml:space="preserve">   Pinceaux et brosses pour artistes, pinceaux à écrire et pinceaux simil. pour l'application des produits cosmétiques</v>
      </c>
      <c r="C8559">
        <v>685701</v>
      </c>
      <c r="D8559">
        <v>938</v>
      </c>
    </row>
    <row r="8560" spans="1:4" x14ac:dyDescent="0.25">
      <c r="A8560" t="str">
        <f>T("   960390")</f>
        <v xml:space="preserve">   960390</v>
      </c>
      <c r="B8560" t="str">
        <f>T("   ARTICLES DE BROSSERIE (SAUF DU N° 9603.10 À 9603.50), P.EX. TÊTES PRÉPARÉES POUR ARTICLES DE BROSSERIE ET RACLETTES EN CAOUTCHOUC OU EN MATIÈRES SOUPLES ANALOGUES")</f>
        <v xml:space="preserve">   ARTICLES DE BROSSERIE (SAUF DU N° 9603.10 À 9603.50), P.EX. TÊTES PRÉPARÉES POUR ARTICLES DE BROSSERIE ET RACLETTES EN CAOUTCHOUC OU EN MATIÈRES SOUPLES ANALOGUES</v>
      </c>
      <c r="C8560">
        <v>156118</v>
      </c>
      <c r="D8560">
        <v>50</v>
      </c>
    </row>
    <row r="8561" spans="1:4" x14ac:dyDescent="0.25">
      <c r="A8561" t="str">
        <f>T("   961800")</f>
        <v xml:space="preserve">   961800</v>
      </c>
      <c r="B8561" t="str">
        <f>T("   Mannequins et articles simil.; automates et scènes animées pour étalages (à l'excl. des modèles utilisés pour l'enseignement, des poupées présentant des caractères de jouet et des marchandises présentées sur ces mannequins)")</f>
        <v xml:space="preserve">   Mannequins et articles simil.; automates et scènes animées pour étalages (à l'excl. des modèles utilisés pour l'enseignement, des poupées présentant des caractères de jouet et des marchandises présentées sur ces mannequins)</v>
      </c>
      <c r="C8561">
        <v>9558147</v>
      </c>
      <c r="D8561">
        <v>781</v>
      </c>
    </row>
    <row r="8562" spans="1:4" x14ac:dyDescent="0.25">
      <c r="A8562" t="str">
        <f>T("NO")</f>
        <v>NO</v>
      </c>
      <c r="B8562" t="str">
        <f>T("Norvège")</f>
        <v>Norvège</v>
      </c>
    </row>
    <row r="8563" spans="1:4" x14ac:dyDescent="0.25">
      <c r="A8563" t="str">
        <f>T("   ZZ_Total_Produit_SH6")</f>
        <v xml:space="preserve">   ZZ_Total_Produit_SH6</v>
      </c>
      <c r="B8563" t="str">
        <f>T("   ZZ_Total_Produit_SH6")</f>
        <v xml:space="preserve">   ZZ_Total_Produit_SH6</v>
      </c>
      <c r="C8563">
        <v>4415299374</v>
      </c>
      <c r="D8563">
        <v>90994134</v>
      </c>
    </row>
    <row r="8564" spans="1:4" x14ac:dyDescent="0.25">
      <c r="A8564" t="str">
        <f>T("   030374")</f>
        <v xml:space="preserve">   030374</v>
      </c>
      <c r="B8564" t="str">
        <f>T("   Maquereaux [Scomber scombrus, Scomber australasicus, Scomber japonicus], congelés")</f>
        <v xml:space="preserve">   Maquereaux [Scomber scombrus, Scomber australasicus, Scomber japonicus], congelés</v>
      </c>
      <c r="C8564">
        <v>12150347</v>
      </c>
      <c r="D8564">
        <v>54000</v>
      </c>
    </row>
    <row r="8565" spans="1:4" x14ac:dyDescent="0.25">
      <c r="A8565" t="str">
        <f>T("   250590")</f>
        <v xml:space="preserve">   250590</v>
      </c>
      <c r="B8565" t="str">
        <f>T("   Sables naturels de toute espèce, même colorés (à l'excl. des sables aurifères, platinifères, monazités, bitumineux, asphaltiques, siliceux ou quartzeux ainsi que des sables de zircon, de rutile ou d'ilménite)")</f>
        <v xml:space="preserve">   Sables naturels de toute espèce, même colorés (à l'excl. des sables aurifères, platinifères, monazités, bitumineux, asphaltiques, siliceux ou quartzeux ainsi que des sables de zircon, de rutile ou d'ilménite)</v>
      </c>
      <c r="C8565">
        <v>6014720</v>
      </c>
      <c r="D8565">
        <v>6270</v>
      </c>
    </row>
    <row r="8566" spans="1:4" x14ac:dyDescent="0.25">
      <c r="A8566" t="str">
        <f>T("   252310")</f>
        <v xml:space="preserve">   252310</v>
      </c>
      <c r="B8566" t="str">
        <f>T("   Ciments non pulvérisés dits 'clinkers'")</f>
        <v xml:space="preserve">   Ciments non pulvérisés dits 'clinkers'</v>
      </c>
      <c r="C8566">
        <v>3142755000</v>
      </c>
      <c r="D8566">
        <v>89793000</v>
      </c>
    </row>
    <row r="8567" spans="1:4" x14ac:dyDescent="0.25">
      <c r="A8567" t="str">
        <f>T("   252329")</f>
        <v xml:space="preserve">   252329</v>
      </c>
      <c r="B8567" t="str">
        <f>T("   Ciment Portland normal ou modéré (à l'excl. des ciments Portland blancs, même colorés artificiellement)")</f>
        <v xml:space="preserve">   Ciment Portland normal ou modéré (à l'excl. des ciments Portland blancs, même colorés artificiellement)</v>
      </c>
      <c r="C8567">
        <v>467260</v>
      </c>
      <c r="D8567">
        <v>487</v>
      </c>
    </row>
    <row r="8568" spans="1:4" x14ac:dyDescent="0.25">
      <c r="A8568" t="str">
        <f>T("   271019")</f>
        <v xml:space="preserve">   271019</v>
      </c>
      <c r="B8568" t="str">
        <f>T("   Huiles moyennes et préparations, de pétrole ou de minéraux bitumineux, n.d.a.")</f>
        <v xml:space="preserve">   Huiles moyennes et préparations, de pétrole ou de minéraux bitumineux, n.d.a.</v>
      </c>
      <c r="C8568">
        <v>5375540</v>
      </c>
      <c r="D8568">
        <v>23260</v>
      </c>
    </row>
    <row r="8569" spans="1:4" x14ac:dyDescent="0.25">
      <c r="A8569" t="str">
        <f>T("   382440")</f>
        <v xml:space="preserve">   382440</v>
      </c>
      <c r="B8569" t="str">
        <f>T("   Additifs préparés pour ciments, mortiers ou bétons")</f>
        <v xml:space="preserve">   Additifs préparés pour ciments, mortiers ou bétons</v>
      </c>
      <c r="C8569">
        <v>73504096</v>
      </c>
      <c r="D8569">
        <v>80940</v>
      </c>
    </row>
    <row r="8570" spans="1:4" x14ac:dyDescent="0.25">
      <c r="A8570" t="str">
        <f>T("   391990")</f>
        <v xml:space="preserve">   391990</v>
      </c>
      <c r="B8570" t="s">
        <v>130</v>
      </c>
      <c r="C8570">
        <v>4106132</v>
      </c>
      <c r="D8570">
        <v>680</v>
      </c>
    </row>
    <row r="8571" spans="1:4" x14ac:dyDescent="0.25">
      <c r="A8571" t="str">
        <f>T("   392690")</f>
        <v xml:space="preserve">   392690</v>
      </c>
      <c r="B8571" t="str">
        <f>T("   Ouvrages en matières plastiques et ouvrages en autres matières du n° 3901 à 3914, n.d.a.")</f>
        <v xml:space="preserve">   Ouvrages en matières plastiques et ouvrages en autres matières du n° 3901 à 3914, n.d.a.</v>
      </c>
      <c r="C8571">
        <v>407614</v>
      </c>
      <c r="D8571">
        <v>100</v>
      </c>
    </row>
    <row r="8572" spans="1:4" x14ac:dyDescent="0.25">
      <c r="A8572" t="str">
        <f>T("   401012")</f>
        <v xml:space="preserve">   401012</v>
      </c>
      <c r="B8572" t="str">
        <f>T("   Courroies transporteuses, en caoutchouc vulcanisé, renforcées seulement de matières textiles")</f>
        <v xml:space="preserve">   Courroies transporteuses, en caoutchouc vulcanisé, renforcées seulement de matières textiles</v>
      </c>
      <c r="C8572">
        <v>14008229</v>
      </c>
      <c r="D8572">
        <v>5170</v>
      </c>
    </row>
    <row r="8573" spans="1:4" x14ac:dyDescent="0.25">
      <c r="A8573" t="str">
        <f>T("   401019")</f>
        <v xml:space="preserve">   401019</v>
      </c>
      <c r="B8573" t="str">
        <f>T("   Courroies transporteuses, en caoutchouc vulcanisé (à l'excl. des produits renforcés seulement de métal, de matières textiles ou de matières plastiques)")</f>
        <v xml:space="preserve">   Courroies transporteuses, en caoutchouc vulcanisé (à l'excl. des produits renforcés seulement de métal, de matières textiles ou de matières plastiques)</v>
      </c>
      <c r="C8573">
        <v>1048356</v>
      </c>
      <c r="D8573">
        <v>100</v>
      </c>
    </row>
    <row r="8574" spans="1:4" x14ac:dyDescent="0.25">
      <c r="A8574" t="str">
        <f>T("   401039")</f>
        <v xml:space="preserve">   401039</v>
      </c>
      <c r="B8574" t="s">
        <v>154</v>
      </c>
      <c r="C8574">
        <v>1081816</v>
      </c>
      <c r="D8574">
        <v>201</v>
      </c>
    </row>
    <row r="8575" spans="1:4" x14ac:dyDescent="0.25">
      <c r="A8575" t="str">
        <f>T("   401120")</f>
        <v xml:space="preserve">   401120</v>
      </c>
      <c r="B8575" t="str">
        <f>T("   Pneumatiques neufs, en caoutchouc, des types utilisés pour les autobus ou les camions (à l'excl. des pneumatiques à crampons, à chevrons ou simil.)")</f>
        <v xml:space="preserve">   Pneumatiques neufs, en caoutchouc, des types utilisés pour les autobus ou les camions (à l'excl. des pneumatiques à crampons, à chevrons ou simil.)</v>
      </c>
      <c r="C8575">
        <v>1000250</v>
      </c>
      <c r="D8575">
        <v>3600</v>
      </c>
    </row>
    <row r="8576" spans="1:4" x14ac:dyDescent="0.25">
      <c r="A8576" t="str">
        <f>T("   401699")</f>
        <v xml:space="preserve">   401699</v>
      </c>
      <c r="B8576" t="str">
        <f>T("   OUVRAGES EN CAOUTCHOUC VULCANISÉ NON-DURCI, N.D.A.")</f>
        <v xml:space="preserve">   OUVRAGES EN CAOUTCHOUC VULCANISÉ NON-DURCI, N.D.A.</v>
      </c>
      <c r="C8576">
        <v>12307102</v>
      </c>
      <c r="D8576">
        <v>623</v>
      </c>
    </row>
    <row r="8577" spans="1:4" x14ac:dyDescent="0.25">
      <c r="A8577" t="str">
        <f>T("   481930")</f>
        <v xml:space="preserve">   481930</v>
      </c>
      <c r="B8577" t="str">
        <f>T("   Sacs, en papier, carton, ouate de cellulose ou nappes de fibres de cellulose, d'une largeur à la base &gt;= 40 cm")</f>
        <v xml:space="preserve">   Sacs, en papier, carton, ouate de cellulose ou nappes de fibres de cellulose, d'une largeur à la base &gt;= 40 cm</v>
      </c>
      <c r="C8577">
        <v>743795682</v>
      </c>
      <c r="D8577">
        <v>929501</v>
      </c>
    </row>
    <row r="8578" spans="1:4" x14ac:dyDescent="0.25">
      <c r="A8578" t="str">
        <f>T("   591190")</f>
        <v xml:space="preserve">   591190</v>
      </c>
      <c r="B8578" t="str">
        <f>T("   Produits et articles textiles pour usages techniques, en matières textiles, visés à la note 7 du présent chapitre, n.d.a.")</f>
        <v xml:space="preserve">   Produits et articles textiles pour usages techniques, en matières textiles, visés à la note 7 du présent chapitre, n.d.a.</v>
      </c>
      <c r="C8578">
        <v>1416349</v>
      </c>
      <c r="D8578">
        <v>145</v>
      </c>
    </row>
    <row r="8579" spans="1:4" x14ac:dyDescent="0.25">
      <c r="A8579" t="str">
        <f>T("   610190")</f>
        <v xml:space="preserve">   610190</v>
      </c>
      <c r="B8579" t="s">
        <v>260</v>
      </c>
      <c r="C8579">
        <v>700000</v>
      </c>
      <c r="D8579">
        <v>80</v>
      </c>
    </row>
    <row r="8580" spans="1:4" x14ac:dyDescent="0.25">
      <c r="A8580" t="str">
        <f>T("   680690")</f>
        <v xml:space="preserve">   680690</v>
      </c>
      <c r="B8580" t="s">
        <v>299</v>
      </c>
      <c r="C8580">
        <v>5886211</v>
      </c>
      <c r="D8580">
        <v>5086</v>
      </c>
    </row>
    <row r="8581" spans="1:4" x14ac:dyDescent="0.25">
      <c r="A8581" t="str">
        <f>T("   730830")</f>
        <v xml:space="preserve">   730830</v>
      </c>
      <c r="B8581" t="str">
        <f>T("   Portes, fenêtres et leurs cadres et chambranles ainsi que leurs seuils, en fer ou en acier")</f>
        <v xml:space="preserve">   Portes, fenêtres et leurs cadres et chambranles ainsi que leurs seuils, en fer ou en acier</v>
      </c>
      <c r="C8581">
        <v>1672173</v>
      </c>
      <c r="D8581">
        <v>160</v>
      </c>
    </row>
    <row r="8582" spans="1:4" x14ac:dyDescent="0.25">
      <c r="A8582" t="str">
        <f>T("   731210")</f>
        <v xml:space="preserve">   731210</v>
      </c>
      <c r="B8582" t="str">
        <f>T("   Torons et câbles en fer ou en acier (sauf produits isolés pour l'électricité et sauf fil barbelé pour clôtures et ronces artificielles)")</f>
        <v xml:space="preserve">   Torons et câbles en fer ou en acier (sauf produits isolés pour l'électricité et sauf fil barbelé pour clôtures et ronces artificielles)</v>
      </c>
      <c r="C8582">
        <v>415938</v>
      </c>
      <c r="D8582">
        <v>25</v>
      </c>
    </row>
    <row r="8583" spans="1:4" x14ac:dyDescent="0.25">
      <c r="A8583" t="str">
        <f>T("   731819")</f>
        <v xml:space="preserve">   731819</v>
      </c>
      <c r="B8583" t="str">
        <f>T("   Articles de boulonnerie et de visserie, filetés, en fonte, fer ou acier, n.d.a.")</f>
        <v xml:space="preserve">   Articles de boulonnerie et de visserie, filetés, en fonte, fer ou acier, n.d.a.</v>
      </c>
      <c r="C8583">
        <v>537336</v>
      </c>
      <c r="D8583">
        <v>130</v>
      </c>
    </row>
    <row r="8584" spans="1:4" x14ac:dyDescent="0.25">
      <c r="A8584" t="str">
        <f>T("   731822")</f>
        <v xml:space="preserve">   731822</v>
      </c>
      <c r="B8584" t="str">
        <f>T("   Rondelles en fonte, fer ou acier (sauf rondelles destinées à faire ressort et autres rondelles de blocage)")</f>
        <v xml:space="preserve">   Rondelles en fonte, fer ou acier (sauf rondelles destinées à faire ressort et autres rondelles de blocage)</v>
      </c>
      <c r="C8584">
        <v>7373</v>
      </c>
      <c r="D8584">
        <v>1</v>
      </c>
    </row>
    <row r="8585" spans="1:4" x14ac:dyDescent="0.25">
      <c r="A8585" t="str">
        <f>T("   732090")</f>
        <v xml:space="preserve">   732090</v>
      </c>
      <c r="B8585" t="s">
        <v>355</v>
      </c>
      <c r="C8585">
        <v>37239</v>
      </c>
      <c r="D8585">
        <v>2</v>
      </c>
    </row>
    <row r="8586" spans="1:4" x14ac:dyDescent="0.25">
      <c r="A8586" t="str">
        <f>T("   732690")</f>
        <v xml:space="preserve">   732690</v>
      </c>
      <c r="B8586"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8586">
        <v>14470694</v>
      </c>
      <c r="D8586">
        <v>3535</v>
      </c>
    </row>
    <row r="8587" spans="1:4" x14ac:dyDescent="0.25">
      <c r="A8587" t="str">
        <f>T("   830790")</f>
        <v xml:space="preserve">   830790</v>
      </c>
      <c r="B8587" t="str">
        <f>T("   Tuyaux flexibles en métaux communs autres que le fer ou l'acier, même avec accessoires")</f>
        <v xml:space="preserve">   Tuyaux flexibles en métaux communs autres que le fer ou l'acier, même avec accessoires</v>
      </c>
      <c r="C8587">
        <v>21483</v>
      </c>
      <c r="D8587">
        <v>1</v>
      </c>
    </row>
    <row r="8588" spans="1:4" x14ac:dyDescent="0.25">
      <c r="A8588" t="str">
        <f>T("   840999")</f>
        <v xml:space="preserve">   840999</v>
      </c>
      <c r="B8588" t="str">
        <f>T("   Parties reconnaissables comme étant exclusivement ou principalement destinées aux moteurs à piston à allumage par compression, n.d.a.")</f>
        <v xml:space="preserve">   Parties reconnaissables comme étant exclusivement ou principalement destinées aux moteurs à piston à allumage par compression, n.d.a.</v>
      </c>
      <c r="C8588">
        <v>133567</v>
      </c>
      <c r="D8588">
        <v>8</v>
      </c>
    </row>
    <row r="8589" spans="1:4" x14ac:dyDescent="0.25">
      <c r="A8589" t="str">
        <f>T("   841280")</f>
        <v xml:space="preserve">   841280</v>
      </c>
      <c r="B8589" t="str">
        <f>T("   Moteurs et machines motrices (à l'excl. des turbines à vapeur, moteurs à piston, turbines hydrauliques, roues hydrauliques, turbines à gaz, moteurs à réaction, moteurs hydrauliques et oléohydrauliques, moteurs pneumatiques et sauf moteurs électriques)")</f>
        <v xml:space="preserve">   Moteurs et machines motrices (à l'excl. des turbines à vapeur, moteurs à piston, turbines hydrauliques, roues hydrauliques, turbines à gaz, moteurs à réaction, moteurs hydrauliques et oléohydrauliques, moteurs pneumatiques et sauf moteurs électriques)</v>
      </c>
      <c r="C8589">
        <v>20999142</v>
      </c>
      <c r="D8589">
        <v>4541</v>
      </c>
    </row>
    <row r="8590" spans="1:4" x14ac:dyDescent="0.25">
      <c r="A8590" t="str">
        <f>T("   841330")</f>
        <v xml:space="preserve">   841330</v>
      </c>
      <c r="B8590" t="str">
        <f>T("   Pompes à carburant, à huile ou à liquide de refroidissement pour moteurs à allumage par étincelles ou par compression")</f>
        <v xml:space="preserve">   Pompes à carburant, à huile ou à liquide de refroidissement pour moteurs à allumage par étincelles ou par compression</v>
      </c>
      <c r="C8590">
        <v>3066475</v>
      </c>
      <c r="D8590">
        <v>20</v>
      </c>
    </row>
    <row r="8591" spans="1:4" x14ac:dyDescent="0.25">
      <c r="A8591" t="str">
        <f>T("   841381")</f>
        <v xml:space="preserve">   841381</v>
      </c>
      <c r="B8591" t="s">
        <v>393</v>
      </c>
      <c r="C8591">
        <v>3147427</v>
      </c>
      <c r="D8591">
        <v>15</v>
      </c>
    </row>
    <row r="8592" spans="1:4" x14ac:dyDescent="0.25">
      <c r="A8592" t="str">
        <f>T("   841391")</f>
        <v xml:space="preserve">   841391</v>
      </c>
      <c r="B8592" t="str">
        <f>T("   Parties de pompes pour liquides, n.d.a.")</f>
        <v xml:space="preserve">   Parties de pompes pour liquides, n.d.a.</v>
      </c>
      <c r="C8592">
        <v>1573254</v>
      </c>
      <c r="D8592">
        <v>8</v>
      </c>
    </row>
    <row r="8593" spans="1:4" x14ac:dyDescent="0.25">
      <c r="A8593" t="str">
        <f>T("   841480")</f>
        <v xml:space="preserve">   841480</v>
      </c>
      <c r="B8593" t="s">
        <v>394</v>
      </c>
      <c r="C8593">
        <v>4062282</v>
      </c>
      <c r="D8593">
        <v>407</v>
      </c>
    </row>
    <row r="8594" spans="1:4" x14ac:dyDescent="0.25">
      <c r="A8594" t="str">
        <f>T("   842123")</f>
        <v xml:space="preserve">   842123</v>
      </c>
      <c r="B8594" t="str">
        <f>T("   Appareils pour la filtration des huiles minérales et carburants pour les moteurs à allumage par étincelles ou par compression")</f>
        <v xml:space="preserve">   Appareils pour la filtration des huiles minérales et carburants pour les moteurs à allumage par étincelles ou par compression</v>
      </c>
      <c r="C8594">
        <v>320121</v>
      </c>
      <c r="D8594">
        <v>19</v>
      </c>
    </row>
    <row r="8595" spans="1:4" x14ac:dyDescent="0.25">
      <c r="A8595" t="str">
        <f>T("   842290")</f>
        <v xml:space="preserve">   842290</v>
      </c>
      <c r="B8595" t="str">
        <f>T("   Parties des machines à laver la vaisselle, des machines à empaqueter ou à emballer les marchandises et autres machines et appareils du n° 8422, n.d.a.")</f>
        <v xml:space="preserve">   Parties des machines à laver la vaisselle, des machines à empaqueter ou à emballer les marchandises et autres machines et appareils du n° 8422, n.d.a.</v>
      </c>
      <c r="C8595">
        <v>10957485</v>
      </c>
      <c r="D8595">
        <v>10624</v>
      </c>
    </row>
    <row r="8596" spans="1:4" x14ac:dyDescent="0.25">
      <c r="A8596" t="str">
        <f>T("   842389")</f>
        <v xml:space="preserve">   842389</v>
      </c>
      <c r="B8596" t="str">
        <f>T("   Appareils et instruments de pesage, portée &gt; 5000 kg")</f>
        <v xml:space="preserve">   Appareils et instruments de pesage, portée &gt; 5000 kg</v>
      </c>
      <c r="C8596">
        <v>11626996</v>
      </c>
      <c r="D8596">
        <v>9230</v>
      </c>
    </row>
    <row r="8597" spans="1:4" x14ac:dyDescent="0.25">
      <c r="A8597" t="str">
        <f>T("   842390")</f>
        <v xml:space="preserve">   842390</v>
      </c>
      <c r="B8597" t="str">
        <f>T("   Poids pour balances de tous genres; parties d'appareils et instruments de pesage, n.d.a.")</f>
        <v xml:space="preserve">   Poids pour balances de tous genres; parties d'appareils et instruments de pesage, n.d.a.</v>
      </c>
      <c r="C8597">
        <v>7968989</v>
      </c>
      <c r="D8597">
        <v>79</v>
      </c>
    </row>
    <row r="8598" spans="1:4" x14ac:dyDescent="0.25">
      <c r="A8598" t="str">
        <f>T("   842720")</f>
        <v xml:space="preserve">   842720</v>
      </c>
      <c r="B8598" t="str">
        <f>T("   Chariots de manutention autopropulsés, autres qu'à moteur électrique, avec dispositif de levage")</f>
        <v xml:space="preserve">   Chariots de manutention autopropulsés, autres qu'à moteur électrique, avec dispositif de levage</v>
      </c>
      <c r="C8598">
        <v>20104432</v>
      </c>
      <c r="D8598">
        <v>5000</v>
      </c>
    </row>
    <row r="8599" spans="1:4" x14ac:dyDescent="0.25">
      <c r="A8599" t="str">
        <f>T("   842959")</f>
        <v xml:space="preserve">   842959</v>
      </c>
      <c r="B8599" t="str">
        <f>T("   PELLES MÉCANIQUES, EXCAVATEURS, CHARGEUSES ET CHARGEUSES-PELLETEUSES, AUTOPROPULSÉS (SAUF PELLES-MÉCANIQUES DONT LA SUPERSTRUCTURE PEUT EFFECTUER UNE ROTATION DE 360¦ ET SAUF CHARGEUSES À CHARGEMENT FRONTAL)")</f>
        <v xml:space="preserve">   PELLES MÉCANIQUES, EXCAVATEURS, CHARGEUSES ET CHARGEUSES-PELLETEUSES, AUTOPROPULSÉS (SAUF PELLES-MÉCANIQUES DONT LA SUPERSTRUCTURE PEUT EFFECTUER UNE ROTATION DE 360¦ ET SAUF CHARGEUSES À CHARGEMENT FRONTAL)</v>
      </c>
      <c r="C8599">
        <v>44866411</v>
      </c>
      <c r="D8599">
        <v>7061</v>
      </c>
    </row>
    <row r="8600" spans="1:4" x14ac:dyDescent="0.25">
      <c r="A8600" t="str">
        <f>T("   843120")</f>
        <v xml:space="preserve">   843120</v>
      </c>
      <c r="B8600" t="str">
        <f>T("   Parties de chariots-gerbeurs et autres chariots de manutention munis d'un dispositif de levage, n.d.a.")</f>
        <v xml:space="preserve">   Parties de chariots-gerbeurs et autres chariots de manutention munis d'un dispositif de levage, n.d.a.</v>
      </c>
      <c r="C8600">
        <v>1508865</v>
      </c>
      <c r="D8600">
        <v>3217</v>
      </c>
    </row>
    <row r="8601" spans="1:4" x14ac:dyDescent="0.25">
      <c r="A8601" t="str">
        <f>T("   847490")</f>
        <v xml:space="preserve">   847490</v>
      </c>
      <c r="B8601" t="str">
        <f>T("   Parties des machines et appareils pour le travail des matières minérales du n° 8474, n.d.a.")</f>
        <v xml:space="preserve">   Parties des machines et appareils pour le travail des matières minérales du n° 8474, n.d.a.</v>
      </c>
      <c r="C8601">
        <v>16425520</v>
      </c>
      <c r="D8601">
        <v>4107</v>
      </c>
    </row>
    <row r="8602" spans="1:4" x14ac:dyDescent="0.25">
      <c r="A8602" t="str">
        <f>T("   847989")</f>
        <v xml:space="preserve">   847989</v>
      </c>
      <c r="B8602" t="str">
        <f>T("   Machines et appareils, y.c. les appareils mécaniques, n.d.a.")</f>
        <v xml:space="preserve">   Machines et appareils, y.c. les appareils mécaniques, n.d.a.</v>
      </c>
      <c r="C8602">
        <v>13902731</v>
      </c>
      <c r="D8602">
        <v>835</v>
      </c>
    </row>
    <row r="8603" spans="1:4" x14ac:dyDescent="0.25">
      <c r="A8603" t="str">
        <f>T("   848120")</f>
        <v xml:space="preserve">   848120</v>
      </c>
      <c r="B8603" t="str">
        <f>T("   Valves pour transmissions oléohydrauliques ou pneumatiques")</f>
        <v xml:space="preserve">   Valves pour transmissions oléohydrauliques ou pneumatiques</v>
      </c>
      <c r="C8603">
        <v>53644</v>
      </c>
      <c r="D8603">
        <v>1</v>
      </c>
    </row>
    <row r="8604" spans="1:4" x14ac:dyDescent="0.25">
      <c r="A8604" t="str">
        <f>T("   848130")</f>
        <v xml:space="preserve">   848130</v>
      </c>
      <c r="B8604" t="str">
        <f>T("   Clapets et soupapes de retenue, pour tuyauteries, chaudières, réservoirs, cuves ou contenants simil.")</f>
        <v xml:space="preserve">   Clapets et soupapes de retenue, pour tuyauteries, chaudières, réservoirs, cuves ou contenants simil.</v>
      </c>
      <c r="C8604">
        <v>128548</v>
      </c>
      <c r="D8604">
        <v>8</v>
      </c>
    </row>
    <row r="8605" spans="1:4" x14ac:dyDescent="0.25">
      <c r="A8605" t="str">
        <f>T("   848250")</f>
        <v xml:space="preserve">   848250</v>
      </c>
      <c r="B8605" t="str">
        <f>T("   Roulements à rouleaux cylindriques")</f>
        <v xml:space="preserve">   Roulements à rouleaux cylindriques</v>
      </c>
      <c r="C8605">
        <v>3767690</v>
      </c>
      <c r="D8605">
        <v>240</v>
      </c>
    </row>
    <row r="8606" spans="1:4" x14ac:dyDescent="0.25">
      <c r="A8606" t="str">
        <f>T("   848280")</f>
        <v xml:space="preserve">   848280</v>
      </c>
      <c r="B8606" t="s">
        <v>442</v>
      </c>
      <c r="C8606">
        <v>3281119</v>
      </c>
      <c r="D8606">
        <v>16</v>
      </c>
    </row>
    <row r="8607" spans="1:4" x14ac:dyDescent="0.25">
      <c r="A8607" t="str">
        <f>T("   848490")</f>
        <v xml:space="preserve">   848490</v>
      </c>
      <c r="B8607" t="str">
        <f>T("   Jeux ou assortiments de joints de composition différente présentés en pochettes, enveloppes ou emballages analogues")</f>
        <v xml:space="preserve">   Jeux ou assortiments de joints de composition différente présentés en pochettes, enveloppes ou emballages analogues</v>
      </c>
      <c r="C8607">
        <v>377059</v>
      </c>
      <c r="D8607">
        <v>2</v>
      </c>
    </row>
    <row r="8608" spans="1:4" x14ac:dyDescent="0.25">
      <c r="A8608" t="str">
        <f>T("   850300")</f>
        <v xml:space="preserve">   850300</v>
      </c>
      <c r="B8608" t="str">
        <f>T("   Parties reconnaissables comme étant exclusivement ou principalement destinées aux moteurs et machines génératrices électriques, groupes électrogènes ou convertisseurs rotatifs électriques n.d.a.")</f>
        <v xml:space="preserve">   Parties reconnaissables comme étant exclusivement ou principalement destinées aux moteurs et machines génératrices électriques, groupes électrogènes ou convertisseurs rotatifs électriques n.d.a.</v>
      </c>
      <c r="C8608">
        <v>62823467</v>
      </c>
      <c r="D8608">
        <v>312</v>
      </c>
    </row>
    <row r="8609" spans="1:4" x14ac:dyDescent="0.25">
      <c r="A8609" t="str">
        <f>T("   850440")</f>
        <v xml:space="preserve">   850440</v>
      </c>
      <c r="B8609" t="str">
        <f>T("   CONVERTISSEURS STATIQUES")</f>
        <v xml:space="preserve">   CONVERTISSEURS STATIQUES</v>
      </c>
      <c r="C8609">
        <v>8937455</v>
      </c>
      <c r="D8609">
        <v>773</v>
      </c>
    </row>
    <row r="8610" spans="1:4" x14ac:dyDescent="0.25">
      <c r="A8610" t="str">
        <f>T("   850780")</f>
        <v xml:space="preserve">   850780</v>
      </c>
      <c r="B8610" t="str">
        <f>T("   Accumulateurs électriques (sauf hors d'usage et autres qu'au plomb, au nickel-cadmium ou au nickel-fer)")</f>
        <v xml:space="preserve">   Accumulateurs électriques (sauf hors d'usage et autres qu'au plomb, au nickel-cadmium ou au nickel-fer)</v>
      </c>
      <c r="C8610">
        <v>90155</v>
      </c>
      <c r="D8610">
        <v>2</v>
      </c>
    </row>
    <row r="8611" spans="1:4" x14ac:dyDescent="0.25">
      <c r="A8611" t="str">
        <f>T("   850910")</f>
        <v xml:space="preserve">   850910</v>
      </c>
      <c r="B8611" t="str">
        <f>T("   Aspirateurs de poussières, y.c. les aspirateurs de matières sèches et de matières liquides, à moteur électrique incorporé, à usage domestique")</f>
        <v xml:space="preserve">   Aspirateurs de poussières, y.c. les aspirateurs de matières sèches et de matières liquides, à moteur électrique incorporé, à usage domestique</v>
      </c>
      <c r="C8611">
        <v>998279</v>
      </c>
      <c r="D8611">
        <v>18</v>
      </c>
    </row>
    <row r="8612" spans="1:4" x14ac:dyDescent="0.25">
      <c r="A8612" t="str">
        <f>T("   852491")</f>
        <v xml:space="preserve">   852491</v>
      </c>
      <c r="B8612" t="s">
        <v>460</v>
      </c>
      <c r="C8612">
        <v>8130414</v>
      </c>
      <c r="D8612">
        <v>70</v>
      </c>
    </row>
    <row r="8613" spans="1:4" x14ac:dyDescent="0.25">
      <c r="A8613" t="str">
        <f>T("   852812")</f>
        <v xml:space="preserve">   852812</v>
      </c>
      <c r="B8613"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8613">
        <v>600000</v>
      </c>
      <c r="D8613">
        <v>6320</v>
      </c>
    </row>
    <row r="8614" spans="1:4" x14ac:dyDescent="0.25">
      <c r="A8614" t="str">
        <f>T("   852910")</f>
        <v xml:space="preserve">   852910</v>
      </c>
      <c r="B8614" t="str">
        <f>T("   Antennes et réflecteurs d'antennes de tous types; parties reconnaissables comme étant utilisées conjointement avec ces articles, n.d.a.")</f>
        <v xml:space="preserve">   Antennes et réflecteurs d'antennes de tous types; parties reconnaissables comme étant utilisées conjointement avec ces articles, n.d.a.</v>
      </c>
      <c r="C8614">
        <v>13089970</v>
      </c>
      <c r="D8614">
        <v>1573</v>
      </c>
    </row>
    <row r="8615" spans="1:4" x14ac:dyDescent="0.25">
      <c r="A8615" t="str">
        <f>T("   853649")</f>
        <v xml:space="preserve">   853649</v>
      </c>
      <c r="B8615" t="str">
        <f>T("   Relais, pour une tension &gt; 60 V mais &lt;= 1.000 V")</f>
        <v xml:space="preserve">   Relais, pour une tension &gt; 60 V mais &lt;= 1.000 V</v>
      </c>
      <c r="C8615">
        <v>292775</v>
      </c>
      <c r="D8615">
        <v>8</v>
      </c>
    </row>
    <row r="8616" spans="1:4" x14ac:dyDescent="0.25">
      <c r="A8616" t="str">
        <f>T("   853650")</f>
        <v xml:space="preserve">   853650</v>
      </c>
      <c r="B8616" t="str">
        <f>T("   Interrupteurs, sectionneurs et commutateurs, pour une tension &lt;= 1.000 V (autres que relais et disjoncteurs)")</f>
        <v xml:space="preserve">   Interrupteurs, sectionneurs et commutateurs, pour une tension &lt;= 1.000 V (autres que relais et disjoncteurs)</v>
      </c>
      <c r="C8616">
        <v>248236</v>
      </c>
      <c r="D8616">
        <v>2</v>
      </c>
    </row>
    <row r="8617" spans="1:4" x14ac:dyDescent="0.25">
      <c r="A8617" t="str">
        <f>T("   853690")</f>
        <v xml:space="preserve">   853690</v>
      </c>
      <c r="B8617" t="s">
        <v>469</v>
      </c>
      <c r="C8617">
        <v>95036</v>
      </c>
      <c r="D8617">
        <v>5</v>
      </c>
    </row>
    <row r="8618" spans="1:4" x14ac:dyDescent="0.25">
      <c r="A8618" t="str">
        <f>T("   853710")</f>
        <v xml:space="preserve">   853710</v>
      </c>
      <c r="B8618" t="str">
        <f>T("   Tableaux, armoires et combinaisons d'appareils simil., pour la commande ou la distribution électrique, pour une tension &gt;= 1.000 V")</f>
        <v xml:space="preserve">   Tableaux, armoires et combinaisons d'appareils simil., pour la commande ou la distribution électrique, pour une tension &gt;= 1.000 V</v>
      </c>
      <c r="C8618">
        <v>64281253</v>
      </c>
      <c r="D8618">
        <v>4384</v>
      </c>
    </row>
    <row r="8619" spans="1:4" x14ac:dyDescent="0.25">
      <c r="A8619" t="str">
        <f>T("   853890")</f>
        <v xml:space="preserve">   853890</v>
      </c>
      <c r="B8619" t="s">
        <v>470</v>
      </c>
      <c r="C8619">
        <v>16218132</v>
      </c>
      <c r="D8619">
        <v>3990</v>
      </c>
    </row>
    <row r="8620" spans="1:4" x14ac:dyDescent="0.25">
      <c r="A8620" t="str">
        <f>T("   854451")</f>
        <v xml:space="preserve">   854451</v>
      </c>
      <c r="B8620" t="str">
        <f>T("   Conducteurs électriques, pour tension &gt; 80 V mais &lt;= 1.000 V, avec pièces de connexion, n.d.a.")</f>
        <v xml:space="preserve">   Conducteurs électriques, pour tension &gt; 80 V mais &lt;= 1.000 V, avec pièces de connexion, n.d.a.</v>
      </c>
      <c r="C8620">
        <v>35842</v>
      </c>
      <c r="D8620">
        <v>2</v>
      </c>
    </row>
    <row r="8621" spans="1:4" x14ac:dyDescent="0.25">
      <c r="A8621" t="str">
        <f>T("   854590")</f>
        <v xml:space="preserve">   854590</v>
      </c>
      <c r="B8621" t="str">
        <f>T("   Articles en graphite ou en autre carbone, pour usages électriques (autres qu'électrodes et balais)")</f>
        <v xml:space="preserve">   Articles en graphite ou en autre carbone, pour usages électriques (autres qu'électrodes et balais)</v>
      </c>
      <c r="C8621">
        <v>1091285</v>
      </c>
      <c r="D8621">
        <v>2</v>
      </c>
    </row>
    <row r="8622" spans="1:4" x14ac:dyDescent="0.25">
      <c r="A8622" t="str">
        <f>T("   870120")</f>
        <v xml:space="preserve">   870120</v>
      </c>
      <c r="B8622" t="str">
        <f>T("   Tracteurs routiers pour semi-remorques")</f>
        <v xml:space="preserve">   Tracteurs routiers pour semi-remorques</v>
      </c>
      <c r="C8622">
        <v>2000000</v>
      </c>
      <c r="D8622">
        <v>2334</v>
      </c>
    </row>
    <row r="8623" spans="1:4" x14ac:dyDescent="0.25">
      <c r="A8623" t="str">
        <f>T("   870210")</f>
        <v xml:space="preserve">   870210</v>
      </c>
      <c r="B8623" t="s">
        <v>472</v>
      </c>
      <c r="C8623">
        <v>1200000</v>
      </c>
      <c r="D8623">
        <v>800</v>
      </c>
    </row>
    <row r="8624" spans="1:4" x14ac:dyDescent="0.25">
      <c r="A8624" t="str">
        <f>T("   870322")</f>
        <v xml:space="preserve">   870322</v>
      </c>
      <c r="B8624" t="s">
        <v>475</v>
      </c>
      <c r="C8624">
        <v>14961862</v>
      </c>
      <c r="D8624">
        <v>10980</v>
      </c>
    </row>
    <row r="8625" spans="1:4" x14ac:dyDescent="0.25">
      <c r="A8625" t="str">
        <f>T("   870421")</f>
        <v xml:space="preserve">   870421</v>
      </c>
      <c r="B8625" t="s">
        <v>481</v>
      </c>
      <c r="C8625">
        <v>2400000</v>
      </c>
      <c r="D8625">
        <v>1900</v>
      </c>
    </row>
    <row r="8626" spans="1:4" x14ac:dyDescent="0.25">
      <c r="A8626" t="str">
        <f>T("   870422")</f>
        <v xml:space="preserve">   870422</v>
      </c>
      <c r="B8626" t="s">
        <v>482</v>
      </c>
      <c r="C8626">
        <v>2000000</v>
      </c>
      <c r="D8626">
        <v>5000</v>
      </c>
    </row>
    <row r="8627" spans="1:4" x14ac:dyDescent="0.25">
      <c r="A8627" t="str">
        <f>T("   870431")</f>
        <v xml:space="preserve">   870431</v>
      </c>
      <c r="B8627" t="s">
        <v>484</v>
      </c>
      <c r="C8627">
        <v>1200000</v>
      </c>
      <c r="D8627">
        <v>1100</v>
      </c>
    </row>
    <row r="8628" spans="1:4" x14ac:dyDescent="0.25">
      <c r="A8628" t="str">
        <f>T("   902620")</f>
        <v xml:space="preserve">   902620</v>
      </c>
      <c r="B8628" t="str">
        <f>T("   Instruments et appareils pour la mesure ou le contrôle de la pression des liquides ou des gaz (à l'excl. des instruments et appareils pour la régulation ou le contrôle automatiques)")</f>
        <v xml:space="preserve">   Instruments et appareils pour la mesure ou le contrôle de la pression des liquides ou des gaz (à l'excl. des instruments et appareils pour la régulation ou le contrôle automatiques)</v>
      </c>
      <c r="C8628">
        <v>13251</v>
      </c>
      <c r="D8628">
        <v>1</v>
      </c>
    </row>
    <row r="8629" spans="1:4" x14ac:dyDescent="0.25">
      <c r="A8629" t="str">
        <f>T("   902680")</f>
        <v xml:space="preserve">   902680</v>
      </c>
      <c r="B8629" t="str">
        <f>T("   Instruments et appareils pour la mesure et le contrôle des caractéristiques variables des liquides ou des gaz, n.d.a.")</f>
        <v xml:space="preserve">   Instruments et appareils pour la mesure et le contrôle des caractéristiques variables des liquides ou des gaz, n.d.a.</v>
      </c>
      <c r="C8629">
        <v>167992</v>
      </c>
      <c r="D8629">
        <v>17</v>
      </c>
    </row>
    <row r="8630" spans="1:4" x14ac:dyDescent="0.25">
      <c r="A8630" t="str">
        <f>T("   902780")</f>
        <v xml:space="preserve">   902780</v>
      </c>
      <c r="B8630" t="str">
        <f>T("   Instruments et appareils pour analyses physiques ou chimiques, ou pour essais de viscosité, de porosité, de dilatation, de tension superficielle ou simil. ou pour mesures calorimétriques ou acoustiques ou photométriques, n.d.a.")</f>
        <v xml:space="preserve">   Instruments et appareils pour analyses physiques ou chimiques, ou pour essais de viscosité, de porosité, de dilatation, de tension superficielle ou simil. ou pour mesures calorimétriques ou acoustiques ou photométriques, n.d.a.</v>
      </c>
      <c r="C8630">
        <v>2274751</v>
      </c>
      <c r="D8630">
        <v>3</v>
      </c>
    </row>
    <row r="8631" spans="1:4" x14ac:dyDescent="0.25">
      <c r="A8631" t="str">
        <f>T("   903289")</f>
        <v xml:space="preserve">   903289</v>
      </c>
      <c r="B8631" t="s">
        <v>503</v>
      </c>
      <c r="C8631">
        <v>590522</v>
      </c>
      <c r="D8631">
        <v>3</v>
      </c>
    </row>
    <row r="8632" spans="1:4" x14ac:dyDescent="0.25">
      <c r="A8632" t="str">
        <f>T("   940380")</f>
        <v xml:space="preserve">   940380</v>
      </c>
      <c r="B8632" t="str">
        <f>T("   Meubles en rotin, osier, bambou ou autres matières (sauf métal, bois et matières plastiques)")</f>
        <v xml:space="preserve">   Meubles en rotin, osier, bambou ou autres matières (sauf métal, bois et matières plastiques)</v>
      </c>
      <c r="C8632">
        <v>100000</v>
      </c>
      <c r="D8632">
        <v>2000</v>
      </c>
    </row>
    <row r="8633" spans="1:4" x14ac:dyDescent="0.25">
      <c r="A8633" t="str">
        <f>T("NR")</f>
        <v>NR</v>
      </c>
      <c r="B8633" t="str">
        <f>T("Nauru")</f>
        <v>Nauru</v>
      </c>
    </row>
    <row r="8634" spans="1:4" x14ac:dyDescent="0.25">
      <c r="A8634" t="str">
        <f>T("   ZZ_Total_Produit_SH6")</f>
        <v xml:space="preserve">   ZZ_Total_Produit_SH6</v>
      </c>
      <c r="B8634" t="str">
        <f>T("   ZZ_Total_Produit_SH6")</f>
        <v xml:space="preserve">   ZZ_Total_Produit_SH6</v>
      </c>
      <c r="C8634">
        <v>16276875</v>
      </c>
      <c r="D8634">
        <v>181</v>
      </c>
    </row>
    <row r="8635" spans="1:4" x14ac:dyDescent="0.25">
      <c r="A8635" t="str">
        <f>T("   842290")</f>
        <v xml:space="preserve">   842290</v>
      </c>
      <c r="B8635" t="str">
        <f>T("   Parties des machines à laver la vaisselle, des machines à empaqueter ou à emballer les marchandises et autres machines et appareils du n° 8422, n.d.a.")</f>
        <v xml:space="preserve">   Parties des machines à laver la vaisselle, des machines à empaqueter ou à emballer les marchandises et autres machines et appareils du n° 8422, n.d.a.</v>
      </c>
      <c r="C8635">
        <v>1704141</v>
      </c>
      <c r="D8635">
        <v>1</v>
      </c>
    </row>
    <row r="8636" spans="1:4" x14ac:dyDescent="0.25">
      <c r="A8636" t="str">
        <f>T("   851780")</f>
        <v xml:space="preserve">   851780</v>
      </c>
      <c r="B8636" t="s">
        <v>453</v>
      </c>
      <c r="C8636">
        <v>12007411</v>
      </c>
      <c r="D8636">
        <v>90</v>
      </c>
    </row>
    <row r="8637" spans="1:4" x14ac:dyDescent="0.25">
      <c r="A8637" t="str">
        <f>T("   851790")</f>
        <v xml:space="preserve">   851790</v>
      </c>
      <c r="B8637" t="s">
        <v>454</v>
      </c>
      <c r="C8637">
        <v>1665132</v>
      </c>
      <c r="D8637">
        <v>50</v>
      </c>
    </row>
    <row r="8638" spans="1:4" x14ac:dyDescent="0.25">
      <c r="A8638" t="str">
        <f>T("   854449")</f>
        <v xml:space="preserve">   854449</v>
      </c>
      <c r="B8638" t="str">
        <f>T("   CONDUCTEURS ÉLECTRIQUES, POUR TENSION &lt;= 1.000 V, ISOLÉS, SANS PIÈCES DE CONNEXION, N.D.A.")</f>
        <v xml:space="preserve">   CONDUCTEURS ÉLECTRIQUES, POUR TENSION &lt;= 1.000 V, ISOLÉS, SANS PIÈCES DE CONNEXION, N.D.A.</v>
      </c>
      <c r="C8638">
        <v>900191</v>
      </c>
      <c r="D8638">
        <v>40</v>
      </c>
    </row>
    <row r="8639" spans="1:4" x14ac:dyDescent="0.25">
      <c r="A8639" t="str">
        <f>T("NZ")</f>
        <v>NZ</v>
      </c>
      <c r="B8639" t="str">
        <f>T("Nouvelle-Zélande")</f>
        <v>Nouvelle-Zélande</v>
      </c>
    </row>
    <row r="8640" spans="1:4" x14ac:dyDescent="0.25">
      <c r="A8640" t="str">
        <f>T("   ZZ_Total_Produit_SH6")</f>
        <v xml:space="preserve">   ZZ_Total_Produit_SH6</v>
      </c>
      <c r="B8640" t="str">
        <f>T("   ZZ_Total_Produit_SH6")</f>
        <v xml:space="preserve">   ZZ_Total_Produit_SH6</v>
      </c>
      <c r="C8640">
        <v>57334392</v>
      </c>
      <c r="D8640">
        <v>83736</v>
      </c>
    </row>
    <row r="8641" spans="1:4" x14ac:dyDescent="0.25">
      <c r="A8641" t="str">
        <f>T("   030264")</f>
        <v xml:space="preserve">   030264</v>
      </c>
      <c r="B8641" t="str">
        <f>T("   Maquereaux [Scomber scombrus, Scomber australasicus, Scomber japonicus], frais ou réfrigérés")</f>
        <v xml:space="preserve">   Maquereaux [Scomber scombrus, Scomber australasicus, Scomber japonicus], frais ou réfrigérés</v>
      </c>
      <c r="C8641">
        <v>23019379</v>
      </c>
      <c r="D8641">
        <v>28350</v>
      </c>
    </row>
    <row r="8642" spans="1:4" x14ac:dyDescent="0.25">
      <c r="A8642" t="str">
        <f>T("   030374")</f>
        <v xml:space="preserve">   030374</v>
      </c>
      <c r="B8642" t="str">
        <f>T("   Maquereaux [Scomber scombrus, Scomber australasicus, Scomber japonicus], congelés")</f>
        <v xml:space="preserve">   Maquereaux [Scomber scombrus, Scomber australasicus, Scomber japonicus], congelés</v>
      </c>
      <c r="C8642">
        <v>6379190</v>
      </c>
      <c r="D8642">
        <v>28350</v>
      </c>
    </row>
    <row r="8643" spans="1:4" x14ac:dyDescent="0.25">
      <c r="A8643" t="str">
        <f>T("   271011")</f>
        <v xml:space="preserve">   271011</v>
      </c>
      <c r="B8643" t="str">
        <f>T("   HUILES LÉGÈRES ET PRÉPARATIONS DE PÉTROLE OU DE MINÉRAUX BITUMINEUX DISTILLANT EN VOLUME, Y.C. LES PERTES, &gt;= 90% À 210°C, D'APRÈS LA MÉTHODE ASTM D 86")</f>
        <v xml:space="preserve">   HUILES LÉGÈRES ET PRÉPARATIONS DE PÉTROLE OU DE MINÉRAUX BITUMINEUX DISTILLANT EN VOLUME, Y.C. LES PERTES, &gt;= 90% À 210°C, D'APRÈS LA MÉTHODE ASTM D 86</v>
      </c>
      <c r="C8643">
        <v>287816</v>
      </c>
      <c r="D8643">
        <v>21</v>
      </c>
    </row>
    <row r="8644" spans="1:4" x14ac:dyDescent="0.25">
      <c r="A8644" t="str">
        <f>T("   401019")</f>
        <v xml:space="preserve">   401019</v>
      </c>
      <c r="B8644" t="str">
        <f>T("   Courroies transporteuses, en caoutchouc vulcanisé (à l'excl. des produits renforcés seulement de métal, de matières textiles ou de matières plastiques)")</f>
        <v xml:space="preserve">   Courroies transporteuses, en caoutchouc vulcanisé (à l'excl. des produits renforcés seulement de métal, de matières textiles ou de matières plastiques)</v>
      </c>
      <c r="C8644">
        <v>93507</v>
      </c>
      <c r="D8644">
        <v>7</v>
      </c>
    </row>
    <row r="8645" spans="1:4" x14ac:dyDescent="0.25">
      <c r="A8645" t="str">
        <f>T("   730490")</f>
        <v xml:space="preserve">   730490</v>
      </c>
      <c r="B8645" t="str">
        <f>T("   Tubes, tuyaux et profilés creux, sans soudure, de section autre que circulaire, en fer (à l'excl. de la fonte) ou en acier")</f>
        <v xml:space="preserve">   Tubes, tuyaux et profilés creux, sans soudure, de section autre que circulaire, en fer (à l'excl. de la fonte) ou en acier</v>
      </c>
      <c r="C8645">
        <v>2228249</v>
      </c>
      <c r="D8645">
        <v>164</v>
      </c>
    </row>
    <row r="8646" spans="1:4" x14ac:dyDescent="0.25">
      <c r="A8646" t="str">
        <f>T("   731449")</f>
        <v xml:space="preserve">   731449</v>
      </c>
      <c r="B8646" t="str">
        <f>T("   Toiles métalliques nontissées, grillages et treillis, en fils de fer ou d'acier, non soudés aux points de rencontre (sauf zingués ou recouverts de matières plastiques)")</f>
        <v xml:space="preserve">   Toiles métalliques nontissées, grillages et treillis, en fils de fer ou d'acier, non soudés aux points de rencontre (sauf zingués ou recouverts de matières plastiques)</v>
      </c>
      <c r="C8646">
        <v>13576224</v>
      </c>
      <c r="D8646">
        <v>25980</v>
      </c>
    </row>
    <row r="8647" spans="1:4" x14ac:dyDescent="0.25">
      <c r="A8647" t="str">
        <f>T("   841330")</f>
        <v xml:space="preserve">   841330</v>
      </c>
      <c r="B8647" t="str">
        <f>T("   Pompes à carburant, à huile ou à liquide de refroidissement pour moteurs à allumage par étincelles ou par compression")</f>
        <v xml:space="preserve">   Pompes à carburant, à huile ou à liquide de refroidissement pour moteurs à allumage par étincelles ou par compression</v>
      </c>
      <c r="C8647">
        <v>9012467</v>
      </c>
      <c r="D8647">
        <v>664</v>
      </c>
    </row>
    <row r="8648" spans="1:4" x14ac:dyDescent="0.25">
      <c r="A8648" t="str">
        <f>T("   843139")</f>
        <v xml:space="preserve">   843139</v>
      </c>
      <c r="B8648" t="str">
        <f>T("   Parties de machines et appareils du n° 8428, n.d.a.")</f>
        <v xml:space="preserve">   Parties de machines et appareils du n° 8428, n.d.a.</v>
      </c>
      <c r="C8648">
        <v>1876767</v>
      </c>
      <c r="D8648">
        <v>137</v>
      </c>
    </row>
    <row r="8649" spans="1:4" x14ac:dyDescent="0.25">
      <c r="A8649" t="str">
        <f>T("   848490")</f>
        <v xml:space="preserve">   848490</v>
      </c>
      <c r="B8649" t="str">
        <f>T("   Jeux ou assortiments de joints de composition différente présentés en pochettes, enveloppes ou emballages analogues")</f>
        <v xml:space="preserve">   Jeux ou assortiments de joints de composition différente présentés en pochettes, enveloppes ou emballages analogues</v>
      </c>
      <c r="C8649">
        <v>860793</v>
      </c>
      <c r="D8649">
        <v>63</v>
      </c>
    </row>
    <row r="8650" spans="1:4" x14ac:dyDescent="0.25">
      <c r="A8650" t="str">
        <f>T("OM")</f>
        <v>OM</v>
      </c>
      <c r="B8650" t="str">
        <f>T("Oman")</f>
        <v>Oman</v>
      </c>
    </row>
    <row r="8651" spans="1:4" x14ac:dyDescent="0.25">
      <c r="A8651" t="str">
        <f>T("   ZZ_Total_Produit_SH6")</f>
        <v xml:space="preserve">   ZZ_Total_Produit_SH6</v>
      </c>
      <c r="B8651" t="str">
        <f>T("   ZZ_Total_Produit_SH6")</f>
        <v xml:space="preserve">   ZZ_Total_Produit_SH6</v>
      </c>
      <c r="C8651">
        <v>22348267</v>
      </c>
      <c r="D8651">
        <v>30592</v>
      </c>
    </row>
    <row r="8652" spans="1:4" x14ac:dyDescent="0.25">
      <c r="A8652" t="str">
        <f>T("   210390")</f>
        <v xml:space="preserve">   210390</v>
      </c>
      <c r="B8652" t="str">
        <f>T("   Préparations pour sauces et sauces préparées; condiments et assaisonnements, composés (à l'excl. de la sauce de soja, du tomato ketchup et autres sauces tomates, de la farine de moutarde et de la moutarde préparée)")</f>
        <v xml:space="preserve">   Préparations pour sauces et sauces préparées; condiments et assaisonnements, composés (à l'excl. de la sauce de soja, du tomato ketchup et autres sauces tomates, de la farine de moutarde et de la moutarde préparée)</v>
      </c>
      <c r="C8652">
        <v>7515129</v>
      </c>
      <c r="D8652">
        <v>20642</v>
      </c>
    </row>
    <row r="8653" spans="1:4" x14ac:dyDescent="0.25">
      <c r="A8653" t="str">
        <f>T("   610990")</f>
        <v xml:space="preserve">   610990</v>
      </c>
      <c r="B8653" t="str">
        <f>T("   T-shirts et maillots de corps, en bonneterie, de matières textiles (sauf de coton)")</f>
        <v xml:space="preserve">   T-shirts et maillots de corps, en bonneterie, de matières textiles (sauf de coton)</v>
      </c>
      <c r="C8653">
        <v>54766</v>
      </c>
      <c r="D8653">
        <v>200</v>
      </c>
    </row>
    <row r="8654" spans="1:4" x14ac:dyDescent="0.25">
      <c r="A8654" t="str">
        <f>T("   870421")</f>
        <v xml:space="preserve">   870421</v>
      </c>
      <c r="B8654" t="s">
        <v>481</v>
      </c>
      <c r="C8654">
        <v>14778372</v>
      </c>
      <c r="D8654">
        <v>9750</v>
      </c>
    </row>
    <row r="8655" spans="1:4" x14ac:dyDescent="0.25">
      <c r="A8655" t="str">
        <f>T("PA")</f>
        <v>PA</v>
      </c>
      <c r="B8655" t="str">
        <f>T("Panama")</f>
        <v>Panama</v>
      </c>
    </row>
    <row r="8656" spans="1:4" x14ac:dyDescent="0.25">
      <c r="A8656" t="str">
        <f>T("   ZZ_Total_Produit_SH6")</f>
        <v xml:space="preserve">   ZZ_Total_Produit_SH6</v>
      </c>
      <c r="B8656" t="str">
        <f>T("   ZZ_Total_Produit_SH6")</f>
        <v xml:space="preserve">   ZZ_Total_Produit_SH6</v>
      </c>
      <c r="C8656">
        <v>39739118</v>
      </c>
      <c r="D8656">
        <v>135969</v>
      </c>
    </row>
    <row r="8657" spans="1:4" x14ac:dyDescent="0.25">
      <c r="A8657" t="str">
        <f>T("   401220")</f>
        <v xml:space="preserve">   401220</v>
      </c>
      <c r="B8657" t="str">
        <f>T("   Pneumatiques usagés, en caoutchouc")</f>
        <v xml:space="preserve">   Pneumatiques usagés, en caoutchouc</v>
      </c>
      <c r="C8657">
        <v>3690036</v>
      </c>
      <c r="D8657">
        <v>6300</v>
      </c>
    </row>
    <row r="8658" spans="1:4" x14ac:dyDescent="0.25">
      <c r="A8658" t="str">
        <f>T("   441199")</f>
        <v xml:space="preserve">   441199</v>
      </c>
      <c r="B8658" t="s">
        <v>174</v>
      </c>
      <c r="C8658">
        <v>7029923</v>
      </c>
      <c r="D8658">
        <v>40750</v>
      </c>
    </row>
    <row r="8659" spans="1:4" x14ac:dyDescent="0.25">
      <c r="A8659" t="str">
        <f>T("   560729")</f>
        <v xml:space="preserve">   560729</v>
      </c>
      <c r="B8659" t="str">
        <f>T("   Ficelles, cordes et cordages, de sisal ou d'autres fibres textiles du genre 'Agave', tressés ou non, même imprégnés, enduits, recouverts ou gainés de caoutchouc ou de matière plastique (à l'excl. des ficelles lieuses ou botteleuses)")</f>
        <v xml:space="preserve">   Ficelles, cordes et cordages, de sisal ou d'autres fibres textiles du genre 'Agave', tressés ou non, même imprégnés, enduits, recouverts ou gainés de caoutchouc ou de matière plastique (à l'excl. des ficelles lieuses ou botteleuses)</v>
      </c>
      <c r="C8659">
        <v>7083518</v>
      </c>
      <c r="D8659">
        <v>26000</v>
      </c>
    </row>
    <row r="8660" spans="1:4" x14ac:dyDescent="0.25">
      <c r="A8660" t="str">
        <f>T("   630900")</f>
        <v xml:space="preserve">   630900</v>
      </c>
      <c r="B8660" t="s">
        <v>280</v>
      </c>
      <c r="C8660">
        <v>4143981</v>
      </c>
      <c r="D8660">
        <v>4100</v>
      </c>
    </row>
    <row r="8661" spans="1:4" x14ac:dyDescent="0.25">
      <c r="A8661" t="str">
        <f>T("   690890")</f>
        <v xml:space="preserve">   690890</v>
      </c>
      <c r="B8661" t="s">
        <v>311</v>
      </c>
      <c r="C8661">
        <v>8739000</v>
      </c>
      <c r="D8661">
        <v>51600</v>
      </c>
    </row>
    <row r="8662" spans="1:4" x14ac:dyDescent="0.25">
      <c r="A8662" t="str">
        <f>T("   732111")</f>
        <v xml:space="preserve">   732111</v>
      </c>
      <c r="B8662" t="s">
        <v>356</v>
      </c>
      <c r="C8662">
        <v>7983709</v>
      </c>
      <c r="D8662">
        <v>5117</v>
      </c>
    </row>
    <row r="8663" spans="1:4" x14ac:dyDescent="0.25">
      <c r="A8663" t="str">
        <f>T("   940180")</f>
        <v xml:space="preserve">   940180</v>
      </c>
      <c r="B8663" t="str">
        <f>T("   Sièges, n.d.a.")</f>
        <v xml:space="preserve">   Sièges, n.d.a.</v>
      </c>
      <c r="C8663">
        <v>267957</v>
      </c>
      <c r="D8663">
        <v>1102</v>
      </c>
    </row>
    <row r="8664" spans="1:4" x14ac:dyDescent="0.25">
      <c r="A8664" t="str">
        <f>T("   940370")</f>
        <v xml:space="preserve">   940370</v>
      </c>
      <c r="B8664" t="str">
        <f>T("   Meubles en matières plastiques (autres que pour la médecine, l'art dentaire et vétérinaire, la chirurgie et autres que sièges)")</f>
        <v xml:space="preserve">   Meubles en matières plastiques (autres que pour la médecine, l'art dentaire et vétérinaire, la chirurgie et autres que sièges)</v>
      </c>
      <c r="C8664">
        <v>800994</v>
      </c>
      <c r="D8664">
        <v>1000</v>
      </c>
    </row>
    <row r="8665" spans="1:4" x14ac:dyDescent="0.25">
      <c r="A8665" t="str">
        <f>T("PE")</f>
        <v>PE</v>
      </c>
      <c r="B8665" t="str">
        <f>T("Pérou")</f>
        <v>Pérou</v>
      </c>
    </row>
    <row r="8666" spans="1:4" x14ac:dyDescent="0.25">
      <c r="A8666" t="str">
        <f>T("   ZZ_Total_Produit_SH6")</f>
        <v xml:space="preserve">   ZZ_Total_Produit_SH6</v>
      </c>
      <c r="B8666" t="str">
        <f>T("   ZZ_Total_Produit_SH6")</f>
        <v xml:space="preserve">   ZZ_Total_Produit_SH6</v>
      </c>
      <c r="C8666">
        <v>5739650</v>
      </c>
      <c r="D8666">
        <v>9880</v>
      </c>
    </row>
    <row r="8667" spans="1:4" x14ac:dyDescent="0.25">
      <c r="A8667" t="str">
        <f>T("   040390")</f>
        <v xml:space="preserve">   040390</v>
      </c>
      <c r="B8667" t="str">
        <f>T("   Babeurre, lait et crème caillés, képhir et autres laits et crèmes fermentés ou acidifiés, même concentrés ou additionnés de sucre ou d'autres édulcorants ou aromatisés ou additionnés de fruits ou de cacao (à l'excl. des yoghourts)")</f>
        <v xml:space="preserve">   Babeurre, lait et crème caillés, képhir et autres laits et crèmes fermentés ou acidifiés, même concentrés ou additionnés de sucre ou d'autres édulcorants ou aromatisés ou additionnés de fruits ou de cacao (à l'excl. des yoghourts)</v>
      </c>
      <c r="C8667">
        <v>5739650</v>
      </c>
      <c r="D8667">
        <v>9880</v>
      </c>
    </row>
    <row r="8668" spans="1:4" x14ac:dyDescent="0.25">
      <c r="A8668" t="str">
        <f>T("PH")</f>
        <v>PH</v>
      </c>
      <c r="B8668" t="str">
        <f>T("Philippines")</f>
        <v>Philippines</v>
      </c>
    </row>
    <row r="8669" spans="1:4" x14ac:dyDescent="0.25">
      <c r="A8669" t="str">
        <f>T("   ZZ_Total_Produit_SH6")</f>
        <v xml:space="preserve">   ZZ_Total_Produit_SH6</v>
      </c>
      <c r="B8669" t="str">
        <f>T("   ZZ_Total_Produit_SH6")</f>
        <v xml:space="preserve">   ZZ_Total_Produit_SH6</v>
      </c>
      <c r="C8669">
        <v>4810371</v>
      </c>
      <c r="D8669">
        <v>1035</v>
      </c>
    </row>
    <row r="8670" spans="1:4" x14ac:dyDescent="0.25">
      <c r="A8670" t="str">
        <f>T("   851780")</f>
        <v xml:space="preserve">   851780</v>
      </c>
      <c r="B8670" t="s">
        <v>453</v>
      </c>
      <c r="C8670">
        <v>3036203</v>
      </c>
      <c r="D8670">
        <v>35</v>
      </c>
    </row>
    <row r="8671" spans="1:4" x14ac:dyDescent="0.25">
      <c r="A8671" t="str">
        <f>T("   870322")</f>
        <v xml:space="preserve">   870322</v>
      </c>
      <c r="B8671" t="s">
        <v>475</v>
      </c>
      <c r="C8671">
        <v>1774168</v>
      </c>
      <c r="D8671">
        <v>1000</v>
      </c>
    </row>
    <row r="8672" spans="1:4" x14ac:dyDescent="0.25">
      <c r="A8672" t="str">
        <f>T("PK")</f>
        <v>PK</v>
      </c>
      <c r="B8672" t="str">
        <f>T("Pakistan")</f>
        <v>Pakistan</v>
      </c>
    </row>
    <row r="8673" spans="1:4" x14ac:dyDescent="0.25">
      <c r="A8673" t="str">
        <f>T("   ZZ_Total_Produit_SH6")</f>
        <v xml:space="preserve">   ZZ_Total_Produit_SH6</v>
      </c>
      <c r="B8673" t="str">
        <f>T("   ZZ_Total_Produit_SH6")</f>
        <v xml:space="preserve">   ZZ_Total_Produit_SH6</v>
      </c>
      <c r="C8673">
        <v>2831039188.954</v>
      </c>
      <c r="D8673">
        <v>9666318</v>
      </c>
    </row>
    <row r="8674" spans="1:4" x14ac:dyDescent="0.25">
      <c r="A8674" t="str">
        <f>T("   090420")</f>
        <v xml:space="preserve">   090420</v>
      </c>
      <c r="B8674" t="str">
        <f>T("   Piments du genre 'Capsicum' ou du genre 'Pimenta', séchés ou broyés ou pulvérisés")</f>
        <v xml:space="preserve">   Piments du genre 'Capsicum' ou du genre 'Pimenta', séchés ou broyés ou pulvérisés</v>
      </c>
      <c r="C8674">
        <v>185200</v>
      </c>
      <c r="D8674">
        <v>1852</v>
      </c>
    </row>
    <row r="8675" spans="1:4" x14ac:dyDescent="0.25">
      <c r="A8675" t="str">
        <f>T("   100620")</f>
        <v xml:space="preserve">   100620</v>
      </c>
      <c r="B8675" t="str">
        <f>T("   Riz décortiqué [riz cargo ou riz brun]")</f>
        <v xml:space="preserve">   Riz décortiqué [riz cargo ou riz brun]</v>
      </c>
      <c r="C8675">
        <v>168981065.14199999</v>
      </c>
      <c r="D8675">
        <v>530548</v>
      </c>
    </row>
    <row r="8676" spans="1:4" x14ac:dyDescent="0.25">
      <c r="A8676" t="str">
        <f>T("   100630")</f>
        <v xml:space="preserve">   100630</v>
      </c>
      <c r="B8676" t="str">
        <f>T("   Riz semi-blanchi ou blanchi, même poli ou glacé")</f>
        <v xml:space="preserve">   Riz semi-blanchi ou blanchi, même poli ou glacé</v>
      </c>
      <c r="C8676">
        <v>2523204090.8119998</v>
      </c>
      <c r="D8676">
        <v>8985828</v>
      </c>
    </row>
    <row r="8677" spans="1:4" x14ac:dyDescent="0.25">
      <c r="A8677" t="str">
        <f>T("   160413")</f>
        <v xml:space="preserve">   160413</v>
      </c>
      <c r="B8677" t="str">
        <f>T("   Préparations et conserves de sardines, sardinelles, sprats ou esprots, entiers ou en morceaux (à l'excl. des préparations et conserves de poissons hachés)")</f>
        <v xml:space="preserve">   Préparations et conserves de sardines, sardinelles, sprats ou esprots, entiers ou en morceaux (à l'excl. des préparations et conserves de poissons hachés)</v>
      </c>
      <c r="C8677">
        <v>15292188</v>
      </c>
      <c r="D8677">
        <v>40000</v>
      </c>
    </row>
    <row r="8678" spans="1:4" x14ac:dyDescent="0.25">
      <c r="A8678" t="str">
        <f>T("   190230")</f>
        <v xml:space="preserve">   190230</v>
      </c>
      <c r="B8678" t="str">
        <f>T("   Pâtes alimentaires, cuites ou autrement préparées (à l'excl. des pâtes alimentaires farcies)")</f>
        <v xml:space="preserve">   Pâtes alimentaires, cuites ou autrement préparées (à l'excl. des pâtes alimentaires farcies)</v>
      </c>
      <c r="C8678">
        <v>39307</v>
      </c>
      <c r="D8678">
        <v>154</v>
      </c>
    </row>
    <row r="8679" spans="1:4" x14ac:dyDescent="0.25">
      <c r="A8679" t="str">
        <f>T("   200590")</f>
        <v xml:space="preserve">   200590</v>
      </c>
      <c r="B8679" t="s">
        <v>51</v>
      </c>
      <c r="C8679">
        <v>119838</v>
      </c>
      <c r="D8679">
        <v>500</v>
      </c>
    </row>
    <row r="8680" spans="1:4" x14ac:dyDescent="0.25">
      <c r="A8680" t="str">
        <f>T("   250100")</f>
        <v xml:space="preserve">   250100</v>
      </c>
      <c r="B8680" t="s">
        <v>60</v>
      </c>
      <c r="C8680">
        <v>3015000</v>
      </c>
      <c r="D8680">
        <v>30150</v>
      </c>
    </row>
    <row r="8681" spans="1:4" x14ac:dyDescent="0.25">
      <c r="A8681" t="str">
        <f>T("   300490")</f>
        <v xml:space="preserve">   300490</v>
      </c>
      <c r="B8681" t="s">
        <v>78</v>
      </c>
      <c r="C8681">
        <v>1666138</v>
      </c>
      <c r="D8681">
        <v>170</v>
      </c>
    </row>
    <row r="8682" spans="1:4" x14ac:dyDescent="0.25">
      <c r="A8682" t="str">
        <f>T("   321210")</f>
        <v xml:space="preserve">   321210</v>
      </c>
      <c r="B8682" t="str">
        <f>T("   Feuilles pour le marquage au fer, des types utilisés pour le marquage des reliures, des cuirs ou coiffes de chapeaux")</f>
        <v xml:space="preserve">   Feuilles pour le marquage au fer, des types utilisés pour le marquage des reliures, des cuirs ou coiffes de chapeaux</v>
      </c>
      <c r="C8682">
        <v>4794</v>
      </c>
      <c r="D8682">
        <v>15</v>
      </c>
    </row>
    <row r="8683" spans="1:4" x14ac:dyDescent="0.25">
      <c r="A8683" t="str">
        <f>T("   360500")</f>
        <v xml:space="preserve">   360500</v>
      </c>
      <c r="B8683" t="str">
        <f>T("   Allumettes (autres que les articles de pyrotechnie du n° 3604)")</f>
        <v xml:space="preserve">   Allumettes (autres que les articles de pyrotechnie du n° 3604)</v>
      </c>
      <c r="C8683">
        <v>18362865</v>
      </c>
      <c r="D8683">
        <v>35857</v>
      </c>
    </row>
    <row r="8684" spans="1:4" x14ac:dyDescent="0.25">
      <c r="A8684" t="str">
        <f>T("   392329")</f>
        <v xml:space="preserve">   392329</v>
      </c>
      <c r="B8684" t="str">
        <f>T("   Sacs, sachets, pochettes et cornets, en matières plastiques (autres que les polymères de l'éthylène)")</f>
        <v xml:space="preserve">   Sacs, sachets, pochettes et cornets, en matières plastiques (autres que les polymères de l'éthylène)</v>
      </c>
      <c r="C8684">
        <v>479</v>
      </c>
      <c r="D8684">
        <v>50</v>
      </c>
    </row>
    <row r="8685" spans="1:4" x14ac:dyDescent="0.25">
      <c r="A8685" t="str">
        <f>T("   490199")</f>
        <v xml:space="preserve">   490199</v>
      </c>
      <c r="B8685"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8685">
        <v>1146454</v>
      </c>
      <c r="D8685">
        <v>75</v>
      </c>
    </row>
    <row r="8686" spans="1:4" x14ac:dyDescent="0.25">
      <c r="A8686" t="str">
        <f>T("   570500")</f>
        <v xml:space="preserve">   570500</v>
      </c>
      <c r="B8686" t="str">
        <f>T("   Tapis et autres revêtements de sol en matières textiles, même confectionnés (à l'excl. à points noués ou enroulés, tissés, touffetés ou en feutre)")</f>
        <v xml:space="preserve">   Tapis et autres revêtements de sol en matières textiles, même confectionnés (à l'excl. à points noués ou enroulés, tissés, touffetés ou en feutre)</v>
      </c>
      <c r="C8686">
        <v>4876406</v>
      </c>
      <c r="D8686">
        <v>1152</v>
      </c>
    </row>
    <row r="8687" spans="1:4" x14ac:dyDescent="0.25">
      <c r="A8687" t="str">
        <f>T("   620342")</f>
        <v xml:space="preserve">   620342</v>
      </c>
      <c r="B8687" t="str">
        <f>T("   Pantalons, y.c. knickers et pantalons simil., salopettes à bretelles, culottes et shorts, de coton, pour hommes ou garçonnets (autres qu'en bonneterie et sauf slips et caleçons ainsi que maillots, culottes et slips de bain)")</f>
        <v xml:space="preserve">   Pantalons, y.c. knickers et pantalons simil., salopettes à bretelles, culottes et shorts, de coton, pour hommes ou garçonnets (autres qu'en bonneterie et sauf slips et caleçons ainsi que maillots, culottes et slips de bain)</v>
      </c>
      <c r="C8687">
        <v>16550000</v>
      </c>
      <c r="D8687">
        <v>23096</v>
      </c>
    </row>
    <row r="8688" spans="1:4" x14ac:dyDescent="0.25">
      <c r="A8688" t="str">
        <f>T("   630260")</f>
        <v xml:space="preserve">   630260</v>
      </c>
      <c r="B8688" t="str">
        <f>T("   Linge de toilette ou de cuisine, bouclé du genre éponge, de coton (sauf serpillières, chiffons à parquet, lavettes et chamoisettes)")</f>
        <v xml:space="preserve">   Linge de toilette ou de cuisine, bouclé du genre éponge, de coton (sauf serpillières, chiffons à parquet, lavettes et chamoisettes)</v>
      </c>
      <c r="C8688">
        <v>26745458</v>
      </c>
      <c r="D8688">
        <v>6317</v>
      </c>
    </row>
    <row r="8689" spans="1:4" x14ac:dyDescent="0.25">
      <c r="A8689" t="str">
        <f>T("   630411")</f>
        <v xml:space="preserve">   630411</v>
      </c>
      <c r="B8689" t="str">
        <f>T("   Couvre-lits en bonneterie (sauf linge de lit, couvre-pieds et édredons)")</f>
        <v xml:space="preserve">   Couvre-lits en bonneterie (sauf linge de lit, couvre-pieds et édredons)</v>
      </c>
      <c r="C8689">
        <v>3281111</v>
      </c>
      <c r="D8689">
        <v>775</v>
      </c>
    </row>
    <row r="8690" spans="1:4" x14ac:dyDescent="0.25">
      <c r="A8690" t="str">
        <f>T("   850440")</f>
        <v xml:space="preserve">   850440</v>
      </c>
      <c r="B8690" t="str">
        <f>T("   CONVERTISSEURS STATIQUES")</f>
        <v xml:space="preserve">   CONVERTISSEURS STATIQUES</v>
      </c>
      <c r="C8690">
        <v>1157922</v>
      </c>
      <c r="D8690">
        <v>423</v>
      </c>
    </row>
    <row r="8691" spans="1:4" x14ac:dyDescent="0.25">
      <c r="A8691" t="str">
        <f>T("   850780")</f>
        <v xml:space="preserve">   850780</v>
      </c>
      <c r="B8691" t="str">
        <f>T("   Accumulateurs électriques (sauf hors d'usage et autres qu'au plomb, au nickel-cadmium ou au nickel-fer)")</f>
        <v xml:space="preserve">   Accumulateurs électriques (sauf hors d'usage et autres qu'au plomb, au nickel-cadmium ou au nickel-fer)</v>
      </c>
      <c r="C8691">
        <v>285693</v>
      </c>
      <c r="D8691">
        <v>198</v>
      </c>
    </row>
    <row r="8692" spans="1:4" x14ac:dyDescent="0.25">
      <c r="A8692" t="str">
        <f>T("   851711")</f>
        <v xml:space="preserve">   851711</v>
      </c>
      <c r="B8692" t="str">
        <f>T("   Postes téléphoniques d'usagers pour la téléphonie par fil à combinés sans fil")</f>
        <v xml:space="preserve">   Postes téléphoniques d'usagers pour la téléphonie par fil à combinés sans fil</v>
      </c>
      <c r="C8692">
        <v>26794664</v>
      </c>
      <c r="D8692">
        <v>429</v>
      </c>
    </row>
    <row r="8693" spans="1:4" x14ac:dyDescent="0.25">
      <c r="A8693" t="str">
        <f>T("   853610")</f>
        <v xml:space="preserve">   853610</v>
      </c>
      <c r="B8693" t="str">
        <f>T("   Fusibles et coupe-circuit à fusibles, pour une tension &lt;= 1.000 V")</f>
        <v xml:space="preserve">   Fusibles et coupe-circuit à fusibles, pour une tension &lt;= 1.000 V</v>
      </c>
      <c r="C8693">
        <v>101853</v>
      </c>
      <c r="D8693">
        <v>31</v>
      </c>
    </row>
    <row r="8694" spans="1:4" x14ac:dyDescent="0.25">
      <c r="A8694" t="str">
        <f>T("   853710")</f>
        <v xml:space="preserve">   853710</v>
      </c>
      <c r="B8694" t="str">
        <f>T("   Tableaux, armoires et combinaisons d'appareils simil., pour la commande ou la distribution électrique, pour une tension &gt;= 1.000 V")</f>
        <v xml:space="preserve">   Tableaux, armoires et combinaisons d'appareils simil., pour la commande ou la distribution électrique, pour une tension &gt;= 1.000 V</v>
      </c>
      <c r="C8694">
        <v>1275455</v>
      </c>
      <c r="D8694">
        <v>467</v>
      </c>
    </row>
    <row r="8695" spans="1:4" x14ac:dyDescent="0.25">
      <c r="A8695" t="str">
        <f>T("   901890")</f>
        <v xml:space="preserve">   901890</v>
      </c>
      <c r="B8695" t="str">
        <f>T("   Instruments et appareils pour la médecine, la chirurgie ou l'art vétérinaire, n.d.a.")</f>
        <v xml:space="preserve">   Instruments et appareils pour la médecine, la chirurgie ou l'art vétérinaire, n.d.a.</v>
      </c>
      <c r="C8695">
        <v>8385333</v>
      </c>
      <c r="D8695">
        <v>515</v>
      </c>
    </row>
    <row r="8696" spans="1:4" x14ac:dyDescent="0.25">
      <c r="A8696" t="str">
        <f>T("   903289")</f>
        <v xml:space="preserve">   903289</v>
      </c>
      <c r="B8696" t="s">
        <v>503</v>
      </c>
      <c r="C8696">
        <v>1337574</v>
      </c>
      <c r="D8696">
        <v>477</v>
      </c>
    </row>
    <row r="8697" spans="1:4" x14ac:dyDescent="0.25">
      <c r="A8697" t="str">
        <f>T("   940320")</f>
        <v xml:space="preserve">   940320</v>
      </c>
      <c r="B8697" t="str">
        <f>T("   Meubles en métal, sauf meubles de bureau, sièges et mobilier pour la médecine, la chirurgie, l'art dentaire ou vétérinaire")</f>
        <v xml:space="preserve">   Meubles en métal, sauf meubles de bureau, sièges et mobilier pour la médecine, la chirurgie, l'art dentaire ou vétérinaire</v>
      </c>
      <c r="C8697">
        <v>663746</v>
      </c>
      <c r="D8697">
        <v>239</v>
      </c>
    </row>
    <row r="8698" spans="1:4" x14ac:dyDescent="0.25">
      <c r="A8698" t="str">
        <f>T("   940380")</f>
        <v xml:space="preserve">   940380</v>
      </c>
      <c r="B8698" t="str">
        <f>T("   Meubles en rotin, osier, bambou ou autres matières (sauf métal, bois et matières plastiques)")</f>
        <v xml:space="preserve">   Meubles en rotin, osier, bambou ou autres matières (sauf métal, bois et matières plastiques)</v>
      </c>
      <c r="C8698">
        <v>7566555</v>
      </c>
      <c r="D8698">
        <v>7000</v>
      </c>
    </row>
    <row r="8699" spans="1:4" x14ac:dyDescent="0.25">
      <c r="A8699" t="str">
        <f>T("PL")</f>
        <v>PL</v>
      </c>
      <c r="B8699" t="str">
        <f>T("Pologne")</f>
        <v>Pologne</v>
      </c>
    </row>
    <row r="8700" spans="1:4" x14ac:dyDescent="0.25">
      <c r="A8700" t="str">
        <f>T("   ZZ_Total_Produit_SH6")</f>
        <v xml:space="preserve">   ZZ_Total_Produit_SH6</v>
      </c>
      <c r="B8700" t="str">
        <f>T("   ZZ_Total_Produit_SH6")</f>
        <v xml:space="preserve">   ZZ_Total_Produit_SH6</v>
      </c>
      <c r="C8700">
        <v>10607936547</v>
      </c>
      <c r="D8700">
        <v>18224927.109999999</v>
      </c>
    </row>
    <row r="8701" spans="1:4" x14ac:dyDescent="0.25">
      <c r="A8701" t="str">
        <f>T("   020712")</f>
        <v xml:space="preserve">   020712</v>
      </c>
      <c r="B8701" t="str">
        <f>T("   COQS ET POULES [DES ESPÈCES DOMESTIQUES], NON-DÉCOUPÉS EN MORCEAUX, CONGELÉS")</f>
        <v xml:space="preserve">   COQS ET POULES [DES ESPÈCES DOMESTIQUES], NON-DÉCOUPÉS EN MORCEAUX, CONGELÉS</v>
      </c>
      <c r="C8701">
        <v>425619721</v>
      </c>
      <c r="D8701">
        <v>685323</v>
      </c>
    </row>
    <row r="8702" spans="1:4" x14ac:dyDescent="0.25">
      <c r="A8702" t="str">
        <f>T("   020714")</f>
        <v xml:space="preserve">   020714</v>
      </c>
      <c r="B8702" t="str">
        <f>T("   Morceaux et abats comestibles de coqs et de poules [des espèces domestiques], congelés")</f>
        <v xml:space="preserve">   Morceaux et abats comestibles de coqs et de poules [des espèces domestiques], congelés</v>
      </c>
      <c r="C8702">
        <v>6996654299</v>
      </c>
      <c r="D8702">
        <v>11248661</v>
      </c>
    </row>
    <row r="8703" spans="1:4" x14ac:dyDescent="0.25">
      <c r="A8703" t="str">
        <f>T("   020727")</f>
        <v xml:space="preserve">   020727</v>
      </c>
      <c r="B8703" t="str">
        <f>T("   Morceaux et abats comestibles de dindes et dindons [des espèces domestiques], congelés")</f>
        <v xml:space="preserve">   Morceaux et abats comestibles de dindes et dindons [des espèces domestiques], congelés</v>
      </c>
      <c r="C8703">
        <v>1102825800</v>
      </c>
      <c r="D8703">
        <v>1763398</v>
      </c>
    </row>
    <row r="8704" spans="1:4" x14ac:dyDescent="0.25">
      <c r="A8704" t="str">
        <f>T("   050400")</f>
        <v xml:space="preserve">   050400</v>
      </c>
      <c r="B8704" t="str">
        <f>T("   Boyaux, vessies et estomacs d'animaux (autres que ceux de poissons), entiers ou en morceaux, à l'état frais, réfrigéré, congelé, salé ou en saumure, séché ou fumé")</f>
        <v xml:space="preserve">   Boyaux, vessies et estomacs d'animaux (autres que ceux de poissons), entiers ou en morceaux, à l'état frais, réfrigéré, congelé, salé ou en saumure, séché ou fumé</v>
      </c>
      <c r="C8704">
        <v>17493168</v>
      </c>
      <c r="D8704">
        <v>17998</v>
      </c>
    </row>
    <row r="8705" spans="1:4" x14ac:dyDescent="0.25">
      <c r="A8705" t="str">
        <f>T("   160100")</f>
        <v xml:space="preserve">   160100</v>
      </c>
      <c r="B8705" t="str">
        <f>T("   Saucisses, saucissons et produits simil., de viande, d'abats ou de sang; préparations alimentaires à base de ces produits")</f>
        <v xml:space="preserve">   Saucisses, saucissons et produits simil., de viande, d'abats ou de sang; préparations alimentaires à base de ces produits</v>
      </c>
      <c r="C8705">
        <v>19499428</v>
      </c>
      <c r="D8705">
        <v>25999</v>
      </c>
    </row>
    <row r="8706" spans="1:4" x14ac:dyDescent="0.25">
      <c r="A8706" t="str">
        <f>T("   190230")</f>
        <v xml:space="preserve">   190230</v>
      </c>
      <c r="B8706" t="str">
        <f>T("   Pâtes alimentaires, cuites ou autrement préparées (à l'excl. des pâtes alimentaires farcies)")</f>
        <v xml:space="preserve">   Pâtes alimentaires, cuites ou autrement préparées (à l'excl. des pâtes alimentaires farcies)</v>
      </c>
      <c r="C8706">
        <v>5835420</v>
      </c>
      <c r="D8706">
        <v>6440</v>
      </c>
    </row>
    <row r="8707" spans="1:4" x14ac:dyDescent="0.25">
      <c r="A8707" t="str">
        <f>T("   220290")</f>
        <v xml:space="preserve">   220290</v>
      </c>
      <c r="B8707" t="str">
        <f>T("   BOISSONS NON-ALCOOLIQUES (À L'EXCL. DES EAUX, DES JUS DE FRUITS OU DE LÉGUMES AINSI QUE DU LAIT)")</f>
        <v xml:space="preserve">   BOISSONS NON-ALCOOLIQUES (À L'EXCL. DES EAUX, DES JUS DE FRUITS OU DE LÉGUMES AINSI QUE DU LAIT)</v>
      </c>
      <c r="C8707">
        <v>143445990</v>
      </c>
      <c r="D8707">
        <v>587482</v>
      </c>
    </row>
    <row r="8708" spans="1:4" x14ac:dyDescent="0.25">
      <c r="A8708" t="str">
        <f>T("   220300")</f>
        <v xml:space="preserve">   220300</v>
      </c>
      <c r="B8708" t="str">
        <f>T("   Bières de malt")</f>
        <v xml:space="preserve">   Bières de malt</v>
      </c>
      <c r="C8708">
        <v>83146211</v>
      </c>
      <c r="D8708">
        <v>438506</v>
      </c>
    </row>
    <row r="8709" spans="1:4" x14ac:dyDescent="0.25">
      <c r="A8709" t="str">
        <f>T("   271019")</f>
        <v xml:space="preserve">   271019</v>
      </c>
      <c r="B8709" t="str">
        <f>T("   Huiles moyennes et préparations, de pétrole ou de minéraux bitumineux, n.d.a.")</f>
        <v xml:space="preserve">   Huiles moyennes et préparations, de pétrole ou de minéraux bitumineux, n.d.a.</v>
      </c>
      <c r="C8709">
        <v>19711047</v>
      </c>
      <c r="D8709">
        <v>35635</v>
      </c>
    </row>
    <row r="8710" spans="1:4" x14ac:dyDescent="0.25">
      <c r="A8710" t="str">
        <f>T("   281511")</f>
        <v xml:space="preserve">   281511</v>
      </c>
      <c r="B8710" t="str">
        <f>T("   Hydroxyde de sodium [soude caustique], solide")</f>
        <v xml:space="preserve">   Hydroxyde de sodium [soude caustique], solide</v>
      </c>
      <c r="C8710">
        <v>163341914</v>
      </c>
      <c r="D8710">
        <v>343112</v>
      </c>
    </row>
    <row r="8711" spans="1:4" x14ac:dyDescent="0.25">
      <c r="A8711" t="str">
        <f>T("   340220")</f>
        <v xml:space="preserve">   340220</v>
      </c>
      <c r="B8711" t="s">
        <v>103</v>
      </c>
      <c r="C8711">
        <v>3499547</v>
      </c>
      <c r="D8711">
        <v>7776.11</v>
      </c>
    </row>
    <row r="8712" spans="1:4" x14ac:dyDescent="0.25">
      <c r="A8712" t="str">
        <f>T("   420229")</f>
        <v xml:space="preserve">   420229</v>
      </c>
      <c r="B8712" t="str">
        <f>T("   Sacs à main, même à bandoulière, y.c. ceux sans poignée, à surface extérieure en fibre vulcanisée ou en carton, ou recouverts, en totalité ou en majeure partie, de ces mêmes matières ou de papier")</f>
        <v xml:space="preserve">   Sacs à main, même à bandoulière, y.c. ceux sans poignée, à surface extérieure en fibre vulcanisée ou en carton, ou recouverts, en totalité ou en majeure partie, de ces mêmes matières ou de papier</v>
      </c>
      <c r="C8712">
        <v>2955567</v>
      </c>
      <c r="D8712">
        <v>4300</v>
      </c>
    </row>
    <row r="8713" spans="1:4" x14ac:dyDescent="0.25">
      <c r="A8713" t="str">
        <f>T("   440310")</f>
        <v xml:space="preserve">   440310</v>
      </c>
      <c r="B8713" t="s">
        <v>167</v>
      </c>
      <c r="C8713">
        <v>81223117</v>
      </c>
      <c r="D8713">
        <v>255100</v>
      </c>
    </row>
    <row r="8714" spans="1:4" x14ac:dyDescent="0.25">
      <c r="A8714" t="str">
        <f>T("   481840")</f>
        <v xml:space="preserve">   481840</v>
      </c>
      <c r="B8714" t="str">
        <f>T("   Serviettes et tampons hygiéniques, couches pour bébés et articles hygiéniques simil., en pâte à papier, papier, ouate de cellulose ou nappes de fibres de cellulose")</f>
        <v xml:space="preserve">   Serviettes et tampons hygiéniques, couches pour bébés et articles hygiéniques simil., en pâte à papier, papier, ouate de cellulose ou nappes de fibres de cellulose</v>
      </c>
      <c r="C8714">
        <v>282414</v>
      </c>
      <c r="D8714">
        <v>1000</v>
      </c>
    </row>
    <row r="8715" spans="1:4" x14ac:dyDescent="0.25">
      <c r="A8715" t="str">
        <f>T("   491199")</f>
        <v xml:space="preserve">   491199</v>
      </c>
      <c r="B8715" t="str">
        <f>T("   Imprimés, n.d.a.")</f>
        <v xml:space="preserve">   Imprimés, n.d.a.</v>
      </c>
      <c r="C8715">
        <v>65596</v>
      </c>
      <c r="D8715">
        <v>800</v>
      </c>
    </row>
    <row r="8716" spans="1:4" x14ac:dyDescent="0.25">
      <c r="A8716" t="str">
        <f>T("   620690")</f>
        <v xml:space="preserve">   620690</v>
      </c>
      <c r="B8716" t="s">
        <v>270</v>
      </c>
      <c r="C8716">
        <v>2525446</v>
      </c>
      <c r="D8716">
        <v>4350</v>
      </c>
    </row>
    <row r="8717" spans="1:4" x14ac:dyDescent="0.25">
      <c r="A8717" t="str">
        <f>T("   630900")</f>
        <v xml:space="preserve">   630900</v>
      </c>
      <c r="B8717" t="s">
        <v>280</v>
      </c>
      <c r="C8717">
        <v>1385588459</v>
      </c>
      <c r="D8717">
        <v>2459632</v>
      </c>
    </row>
    <row r="8718" spans="1:4" x14ac:dyDescent="0.25">
      <c r="A8718" t="str">
        <f>T("   640590")</f>
        <v xml:space="preserve">   640590</v>
      </c>
      <c r="B8718" t="s">
        <v>290</v>
      </c>
      <c r="C8718">
        <v>7000000</v>
      </c>
      <c r="D8718">
        <v>10000</v>
      </c>
    </row>
    <row r="8719" spans="1:4" x14ac:dyDescent="0.25">
      <c r="A8719" t="str">
        <f>T("   690790")</f>
        <v xml:space="preserve">   690790</v>
      </c>
      <c r="B8719" t="s">
        <v>310</v>
      </c>
      <c r="C8719">
        <v>1917749</v>
      </c>
      <c r="D8719">
        <v>27000</v>
      </c>
    </row>
    <row r="8720" spans="1:4" x14ac:dyDescent="0.25">
      <c r="A8720" t="str">
        <f>T("   701090")</f>
        <v xml:space="preserve">   701090</v>
      </c>
      <c r="B8720" t="s">
        <v>323</v>
      </c>
      <c r="C8720">
        <v>58499825</v>
      </c>
      <c r="D8720">
        <v>118215</v>
      </c>
    </row>
    <row r="8721" spans="1:4" x14ac:dyDescent="0.25">
      <c r="A8721" t="str">
        <f>T("   841381")</f>
        <v xml:space="preserve">   841381</v>
      </c>
      <c r="B8721" t="s">
        <v>393</v>
      </c>
      <c r="C8721">
        <v>29000</v>
      </c>
      <c r="D8721">
        <v>450</v>
      </c>
    </row>
    <row r="8722" spans="1:4" x14ac:dyDescent="0.25">
      <c r="A8722" t="str">
        <f>T("   841829")</f>
        <v xml:space="preserve">   841829</v>
      </c>
      <c r="B8722" t="str">
        <f>T("   Réfrigérateurs ménagers à absorption, non-électriques")</f>
        <v xml:space="preserve">   Réfrigérateurs ménagers à absorption, non-électriques</v>
      </c>
      <c r="C8722">
        <v>2000000</v>
      </c>
      <c r="D8722">
        <v>15000</v>
      </c>
    </row>
    <row r="8723" spans="1:4" x14ac:dyDescent="0.25">
      <c r="A8723" t="str">
        <f>T("   870120")</f>
        <v xml:space="preserve">   870120</v>
      </c>
      <c r="B8723" t="str">
        <f>T("   Tracteurs routiers pour semi-remorques")</f>
        <v xml:space="preserve">   Tracteurs routiers pour semi-remorques</v>
      </c>
      <c r="C8723">
        <v>62000000</v>
      </c>
      <c r="D8723">
        <v>138780</v>
      </c>
    </row>
    <row r="8724" spans="1:4" x14ac:dyDescent="0.25">
      <c r="A8724" t="str">
        <f>T("   870322")</f>
        <v xml:space="preserve">   870322</v>
      </c>
      <c r="B8724" t="s">
        <v>475</v>
      </c>
      <c r="C8724">
        <v>6188893</v>
      </c>
      <c r="D8724">
        <v>4880</v>
      </c>
    </row>
    <row r="8725" spans="1:4" x14ac:dyDescent="0.25">
      <c r="A8725" t="str">
        <f>T("   870323")</f>
        <v xml:space="preserve">   870323</v>
      </c>
      <c r="B8725" t="s">
        <v>476</v>
      </c>
      <c r="C8725">
        <v>3100542</v>
      </c>
      <c r="D8725">
        <v>3350</v>
      </c>
    </row>
    <row r="8726" spans="1:4" x14ac:dyDescent="0.25">
      <c r="A8726" t="str">
        <f>T("   870421")</f>
        <v xml:space="preserve">   870421</v>
      </c>
      <c r="B8726" t="s">
        <v>481</v>
      </c>
      <c r="C8726">
        <v>1200000</v>
      </c>
      <c r="D8726">
        <v>1200</v>
      </c>
    </row>
    <row r="8727" spans="1:4" x14ac:dyDescent="0.25">
      <c r="A8727" t="str">
        <f>T("   871640")</f>
        <v xml:space="preserve">   871640</v>
      </c>
      <c r="B8727" t="str">
        <f>T("   Remorques ne circulant pas sur rails (à l'excl. des remorques pour le transport de marchandises et remorques pour l'habitation ou le camping, du type caravane)")</f>
        <v xml:space="preserve">   Remorques ne circulant pas sur rails (à l'excl. des remorques pour le transport de marchandises et remorques pour l'habitation ou le camping, du type caravane)</v>
      </c>
      <c r="C8727">
        <v>12000000</v>
      </c>
      <c r="D8727">
        <v>19500</v>
      </c>
    </row>
    <row r="8728" spans="1:4" x14ac:dyDescent="0.25">
      <c r="A8728" t="str">
        <f>T("   950390")</f>
        <v xml:space="preserve">   950390</v>
      </c>
      <c r="B8728" t="str">
        <f>T("   Jouets, n.d.a.")</f>
        <v xml:space="preserve">   Jouets, n.d.a.</v>
      </c>
      <c r="C8728">
        <v>287394</v>
      </c>
      <c r="D8728">
        <v>1040</v>
      </c>
    </row>
    <row r="8729" spans="1:4" x14ac:dyDescent="0.25">
      <c r="A8729" t="str">
        <f>T("PR")</f>
        <v>PR</v>
      </c>
      <c r="B8729" t="str">
        <f>T("Porto Rico")</f>
        <v>Porto Rico</v>
      </c>
    </row>
    <row r="8730" spans="1:4" x14ac:dyDescent="0.25">
      <c r="A8730" t="str">
        <f>T("   ZZ_Total_Produit_SH6")</f>
        <v xml:space="preserve">   ZZ_Total_Produit_SH6</v>
      </c>
      <c r="B8730" t="str">
        <f>T("   ZZ_Total_Produit_SH6")</f>
        <v xml:space="preserve">   ZZ_Total_Produit_SH6</v>
      </c>
      <c r="C8730">
        <v>1881515000</v>
      </c>
      <c r="D8730">
        <v>6525199</v>
      </c>
    </row>
    <row r="8731" spans="1:4" x14ac:dyDescent="0.25">
      <c r="A8731" t="str">
        <f>T("   271019")</f>
        <v xml:space="preserve">   271019</v>
      </c>
      <c r="B8731" t="str">
        <f>T("   Huiles moyennes et préparations, de pétrole ou de minéraux bitumineux, n.d.a.")</f>
        <v xml:space="preserve">   Huiles moyennes et préparations, de pétrole ou de minéraux bitumineux, n.d.a.</v>
      </c>
      <c r="C8731">
        <v>1880315000</v>
      </c>
      <c r="D8731">
        <v>6524099</v>
      </c>
    </row>
    <row r="8732" spans="1:4" x14ac:dyDescent="0.25">
      <c r="A8732" t="str">
        <f>T("   870431")</f>
        <v xml:space="preserve">   870431</v>
      </c>
      <c r="B8732" t="s">
        <v>484</v>
      </c>
      <c r="C8732">
        <v>1200000</v>
      </c>
      <c r="D8732">
        <v>1100</v>
      </c>
    </row>
    <row r="8733" spans="1:4" x14ac:dyDescent="0.25">
      <c r="A8733" t="str">
        <f>T("PT")</f>
        <v>PT</v>
      </c>
      <c r="B8733" t="str">
        <f>T("Portugal")</f>
        <v>Portugal</v>
      </c>
    </row>
    <row r="8734" spans="1:4" x14ac:dyDescent="0.25">
      <c r="A8734" t="str">
        <f>T("   ZZ_Total_Produit_SH6")</f>
        <v xml:space="preserve">   ZZ_Total_Produit_SH6</v>
      </c>
      <c r="B8734" t="str">
        <f>T("   ZZ_Total_Produit_SH6")</f>
        <v xml:space="preserve">   ZZ_Total_Produit_SH6</v>
      </c>
      <c r="C8734">
        <v>822616404</v>
      </c>
      <c r="D8734">
        <v>2907002</v>
      </c>
    </row>
    <row r="8735" spans="1:4" x14ac:dyDescent="0.25">
      <c r="A8735" t="str">
        <f>T("   020727")</f>
        <v xml:space="preserve">   020727</v>
      </c>
      <c r="B8735" t="str">
        <f>T("   Morceaux et abats comestibles de dindes et dindons [des espèces domestiques], congelés")</f>
        <v xml:space="preserve">   Morceaux et abats comestibles de dindes et dindons [des espèces domestiques], congelés</v>
      </c>
      <c r="C8735">
        <v>62201511</v>
      </c>
      <c r="D8735">
        <v>100000</v>
      </c>
    </row>
    <row r="8736" spans="1:4" x14ac:dyDescent="0.25">
      <c r="A8736" t="str">
        <f>T("   040310")</f>
        <v xml:space="preserve">   040310</v>
      </c>
      <c r="B8736" t="str">
        <f>T("   Yoghourts, même additionnés de sucre ou d'autres édulcorants ou aromatisés ou additionnés de fruits ou de cacao")</f>
        <v xml:space="preserve">   Yoghourts, même additionnés de sucre ou d'autres édulcorants ou aromatisés ou additionnés de fruits ou de cacao</v>
      </c>
      <c r="C8736">
        <v>7137415</v>
      </c>
      <c r="D8736">
        <v>8183</v>
      </c>
    </row>
    <row r="8737" spans="1:4" x14ac:dyDescent="0.25">
      <c r="A8737" t="str">
        <f>T("   190590")</f>
        <v xml:space="preserve">   190590</v>
      </c>
      <c r="B8737" t="s">
        <v>50</v>
      </c>
      <c r="C8737">
        <v>6457109</v>
      </c>
      <c r="D8737">
        <v>4263</v>
      </c>
    </row>
    <row r="8738" spans="1:4" x14ac:dyDescent="0.25">
      <c r="A8738" t="str">
        <f>T("   200941")</f>
        <v xml:space="preserve">   200941</v>
      </c>
      <c r="B8738" t="str">
        <f>T("   JUS D'ANANAS, NON-FERMENTÉS, SANS ADDITION D'ALCOOL, AVEC OU SANS ADDITION DE SUCRE OU D'AUTRES ÉDULCORANTS, D'UNE VALEUR BRIX &lt;= 20 À 20°C")</f>
        <v xml:space="preserve">   JUS D'ANANAS, NON-FERMENTÉS, SANS ADDITION D'ALCOOL, AVEC OU SANS ADDITION DE SUCRE OU D'AUTRES ÉDULCORANTS, D'UNE VALEUR BRIX &lt;= 20 À 20°C</v>
      </c>
      <c r="C8738">
        <v>839629</v>
      </c>
      <c r="D8738">
        <v>3479</v>
      </c>
    </row>
    <row r="8739" spans="1:4" x14ac:dyDescent="0.25">
      <c r="A8739" t="str">
        <f>T("   200980")</f>
        <v xml:space="preserve">   200980</v>
      </c>
      <c r="B8739" t="str">
        <f>T("   JUS DE FRUITS OU DE LÉGUMES, NON-FERMENTÉS, SANS ADDITION D'ALCOOL, AVEC OU SANS ADDITION DE SUCRE OU D'AUTRES ÉDULCORANTS (À L'EXCL. DES MÉLANGES AINSI QUE DES JUS D'AGRUMES, D'ANANAS, DE TOMATE, DE RAISIN - Y.C. LES MOÛTS - ET DE POMME)")</f>
        <v xml:space="preserve">   JUS DE FRUITS OU DE LÉGUMES, NON-FERMENTÉS, SANS ADDITION D'ALCOOL, AVEC OU SANS ADDITION DE SUCRE OU D'AUTRES ÉDULCORANTS (À L'EXCL. DES MÉLANGES AINSI QUE DES JUS D'AGRUMES, D'ANANAS, DE TOMATE, DE RAISIN - Y.C. LES MOÛTS - ET DE POMME)</v>
      </c>
      <c r="C8739">
        <v>7410340</v>
      </c>
      <c r="D8739">
        <v>37419</v>
      </c>
    </row>
    <row r="8740" spans="1:4" x14ac:dyDescent="0.25">
      <c r="A8740" t="str">
        <f>T("   200990")</f>
        <v xml:space="preserve">   200990</v>
      </c>
      <c r="B8740" t="str">
        <f>T("   MÉLANGES DE JUS DE FRUITS - Y.C. LES MOÛTS DE RAISIN - ET DE JUS DE LÉGUMES, NON-FERMENTÉS, SANS ADDITION D'ALCOOL, AVEC OU SANS ADDITION DE SUCRE OU D'AUTRES ÉDULCORANTS")</f>
        <v xml:space="preserve">   MÉLANGES DE JUS DE FRUITS - Y.C. LES MOÛTS DE RAISIN - ET DE JUS DE LÉGUMES, NON-FERMENTÉS, SANS ADDITION D'ALCOOL, AVEC OU SANS ADDITION DE SUCRE OU D'AUTRES ÉDULCORANTS</v>
      </c>
      <c r="C8740">
        <v>8775539</v>
      </c>
      <c r="D8740">
        <v>42480</v>
      </c>
    </row>
    <row r="8741" spans="1:4" x14ac:dyDescent="0.25">
      <c r="A8741" t="str">
        <f>T("   220290")</f>
        <v xml:space="preserve">   220290</v>
      </c>
      <c r="B8741" t="str">
        <f>T("   BOISSONS NON-ALCOOLIQUES (À L'EXCL. DES EAUX, DES JUS DE FRUITS OU DE LÉGUMES AINSI QUE DU LAIT)")</f>
        <v xml:space="preserve">   BOISSONS NON-ALCOOLIQUES (À L'EXCL. DES EAUX, DES JUS DE FRUITS OU DE LÉGUMES AINSI QUE DU LAIT)</v>
      </c>
      <c r="C8741">
        <v>8300159</v>
      </c>
      <c r="D8741">
        <v>31016</v>
      </c>
    </row>
    <row r="8742" spans="1:4" x14ac:dyDescent="0.25">
      <c r="A8742" t="str">
        <f>T("   220300")</f>
        <v xml:space="preserve">   220300</v>
      </c>
      <c r="B8742" t="str">
        <f>T("   Bières de malt")</f>
        <v xml:space="preserve">   Bières de malt</v>
      </c>
      <c r="C8742">
        <v>28348670</v>
      </c>
      <c r="D8742">
        <v>102217</v>
      </c>
    </row>
    <row r="8743" spans="1:4" x14ac:dyDescent="0.25">
      <c r="A8743" t="str">
        <f>T("   220421")</f>
        <v xml:space="preserve">   220421</v>
      </c>
      <c r="B8743" t="str">
        <f>T("   Vins de raisins frais, y.c. les vins enrichis en alcool (à l'excl. des vins mousseux); moûts de raisins dont la fermentation a été empêchée ou arrêtée par addition d'alcool, en récipients d'une contenance &lt;= 2 l")</f>
        <v xml:space="preserve">   Vins de raisins frais, y.c. les vins enrichis en alcool (à l'excl. des vins mousseux); moûts de raisins dont la fermentation a été empêchée ou arrêtée par addition d'alcool, en récipients d'une contenance &lt;= 2 l</v>
      </c>
      <c r="C8743">
        <v>14442271</v>
      </c>
      <c r="D8743">
        <v>48168</v>
      </c>
    </row>
    <row r="8744" spans="1:4" x14ac:dyDescent="0.25">
      <c r="A8744" t="str">
        <f>T("   391890")</f>
        <v xml:space="preserve">   391890</v>
      </c>
      <c r="B8744" t="s">
        <v>129</v>
      </c>
      <c r="C8744">
        <v>3495782</v>
      </c>
      <c r="D8744">
        <v>11637</v>
      </c>
    </row>
    <row r="8745" spans="1:4" x14ac:dyDescent="0.25">
      <c r="A8745" t="str">
        <f>T("   392690")</f>
        <v xml:space="preserve">   392690</v>
      </c>
      <c r="B8745" t="str">
        <f>T("   Ouvrages en matières plastiques et ouvrages en autres matières du n° 3901 à 3914, n.d.a.")</f>
        <v xml:space="preserve">   Ouvrages en matières plastiques et ouvrages en autres matières du n° 3901 à 3914, n.d.a.</v>
      </c>
      <c r="C8745">
        <v>83963</v>
      </c>
      <c r="D8745">
        <v>16</v>
      </c>
    </row>
    <row r="8746" spans="1:4" x14ac:dyDescent="0.25">
      <c r="A8746" t="str">
        <f>T("   480256")</f>
        <v xml:space="preserve">   480256</v>
      </c>
      <c r="B8746" t="s">
        <v>190</v>
      </c>
      <c r="C8746">
        <v>137527371</v>
      </c>
      <c r="D8746">
        <v>438470</v>
      </c>
    </row>
    <row r="8747" spans="1:4" x14ac:dyDescent="0.25">
      <c r="A8747" t="str">
        <f>T("   480257")</f>
        <v xml:space="preserve">   480257</v>
      </c>
      <c r="B8747" t="s">
        <v>191</v>
      </c>
      <c r="C8747">
        <v>20494768</v>
      </c>
      <c r="D8747">
        <v>39824</v>
      </c>
    </row>
    <row r="8748" spans="1:4" x14ac:dyDescent="0.25">
      <c r="A8748" t="str">
        <f>T("   491110")</f>
        <v xml:space="preserve">   491110</v>
      </c>
      <c r="B8748" t="str">
        <f>T("   Imprimés publicitaires, catalogues commerciaux et simil.")</f>
        <v xml:space="preserve">   Imprimés publicitaires, catalogues commerciaux et simil.</v>
      </c>
      <c r="C8748">
        <v>31486</v>
      </c>
      <c r="D8748">
        <v>510</v>
      </c>
    </row>
    <row r="8749" spans="1:4" x14ac:dyDescent="0.25">
      <c r="A8749" t="str">
        <f>T("   491199")</f>
        <v xml:space="preserve">   491199</v>
      </c>
      <c r="B8749" t="str">
        <f>T("   Imprimés, n.d.a.")</f>
        <v xml:space="preserve">   Imprimés, n.d.a.</v>
      </c>
      <c r="C8749">
        <v>203348</v>
      </c>
      <c r="D8749">
        <v>38</v>
      </c>
    </row>
    <row r="8750" spans="1:4" x14ac:dyDescent="0.25">
      <c r="A8750" t="str">
        <f>T("   650590")</f>
        <v xml:space="preserve">   650590</v>
      </c>
      <c r="B8750" t="s">
        <v>291</v>
      </c>
      <c r="C8750">
        <v>24926</v>
      </c>
      <c r="D8750">
        <v>203</v>
      </c>
    </row>
    <row r="8751" spans="1:4" x14ac:dyDescent="0.25">
      <c r="A8751" t="str">
        <f>T("   660199")</f>
        <v xml:space="preserve">   660199</v>
      </c>
      <c r="B8751" t="str">
        <f>T("   Parapluies, y.c. les parapluies-cannes et ombrelles (sauf parapluies et ombrelles à mât ou à manche télescopique, parasols de jardin et articles simil. et sauf jouets d'enfants)")</f>
        <v xml:space="preserve">   Parapluies, y.c. les parapluies-cannes et ombrelles (sauf parapluies et ombrelles à mât ou à manche télescopique, parasols de jardin et articles simil. et sauf jouets d'enfants)</v>
      </c>
      <c r="C8751">
        <v>104953</v>
      </c>
      <c r="D8751">
        <v>20</v>
      </c>
    </row>
    <row r="8752" spans="1:4" x14ac:dyDescent="0.25">
      <c r="A8752" t="str">
        <f>T("   681120")</f>
        <v xml:space="preserve">   681120</v>
      </c>
      <c r="B8752" t="str">
        <f>T("   Plaques, panneaux, carreaux, tuiles et articles simil., en amiante-ciment, cellulose-ciment ou simil. (sauf plaques ondulées)")</f>
        <v xml:space="preserve">   Plaques, panneaux, carreaux, tuiles et articles simil., en amiante-ciment, cellulose-ciment ou simil. (sauf plaques ondulées)</v>
      </c>
      <c r="C8752">
        <v>10513071</v>
      </c>
      <c r="D8752">
        <v>139100</v>
      </c>
    </row>
    <row r="8753" spans="1:4" x14ac:dyDescent="0.25">
      <c r="A8753" t="str">
        <f>T("   690510")</f>
        <v xml:space="preserve">   690510</v>
      </c>
      <c r="B8753" t="str">
        <f>T("   Tuiles")</f>
        <v xml:space="preserve">   Tuiles</v>
      </c>
      <c r="C8753">
        <v>22350525</v>
      </c>
      <c r="D8753">
        <v>194700</v>
      </c>
    </row>
    <row r="8754" spans="1:4" x14ac:dyDescent="0.25">
      <c r="A8754" t="str">
        <f>T("   690590")</f>
        <v xml:space="preserve">   690590</v>
      </c>
      <c r="B8754" t="s">
        <v>308</v>
      </c>
      <c r="C8754">
        <v>4371973</v>
      </c>
      <c r="D8754">
        <v>40950</v>
      </c>
    </row>
    <row r="8755" spans="1:4" x14ac:dyDescent="0.25">
      <c r="A8755" t="str">
        <f>T("   690710")</f>
        <v xml:space="preserve">   690710</v>
      </c>
      <c r="B8755" t="str">
        <f>T("   Carreaux, cubes, dés et articles simil., en céramique, pour mosaïques, non vernissés ni émaillés, même de forme autre que carrée ou rectangulaire, dont la plus grande surface peut être inscrite dans un carré de côté &lt; 7 cm, même sur support")</f>
        <v xml:space="preserve">   Carreaux, cubes, dés et articles simil., en céramique, pour mosaïques, non vernissés ni émaillés, même de forme autre que carrée ou rectangulaire, dont la plus grande surface peut être inscrite dans un carré de côté &lt; 7 cm, même sur support</v>
      </c>
      <c r="C8755">
        <v>11785000</v>
      </c>
      <c r="D8755">
        <v>46366</v>
      </c>
    </row>
    <row r="8756" spans="1:4" x14ac:dyDescent="0.25">
      <c r="A8756" t="str">
        <f>T("   690790")</f>
        <v xml:space="preserve">   690790</v>
      </c>
      <c r="B8756" t="s">
        <v>310</v>
      </c>
      <c r="C8756">
        <v>77227430</v>
      </c>
      <c r="D8756">
        <v>920002</v>
      </c>
    </row>
    <row r="8757" spans="1:4" x14ac:dyDescent="0.25">
      <c r="A8757" t="str">
        <f>T("   690890")</f>
        <v xml:space="preserve">   690890</v>
      </c>
      <c r="B8757" t="s">
        <v>311</v>
      </c>
      <c r="C8757">
        <v>110482756</v>
      </c>
      <c r="D8757">
        <v>606228</v>
      </c>
    </row>
    <row r="8758" spans="1:4" x14ac:dyDescent="0.25">
      <c r="A8758" t="str">
        <f>T("   731100")</f>
        <v xml:space="preserve">   731100</v>
      </c>
      <c r="B8758" t="str">
        <f>T("   Récipients en fonte, fer ou acier, pour gaz comprimés ou liquéfiés (autres que conteneurs spécialement conçus ou équipés pour un ou plusieurs moyens de transport)")</f>
        <v xml:space="preserve">   Récipients en fonte, fer ou acier, pour gaz comprimés ou liquéfiés (autres que conteneurs spécialement conçus ou équipés pour un ou plusieurs moyens de transport)</v>
      </c>
      <c r="C8758">
        <v>46766668</v>
      </c>
      <c r="D8758">
        <v>35574</v>
      </c>
    </row>
    <row r="8759" spans="1:4" x14ac:dyDescent="0.25">
      <c r="A8759" t="str">
        <f>T("   820559")</f>
        <v xml:space="preserve">   820559</v>
      </c>
      <c r="B8759" t="str">
        <f>T("   Outils à main, y.c. -les diamants de vitrier-, en métaux communs, n.d.a.")</f>
        <v xml:space="preserve">   Outils à main, y.c. -les diamants de vitrier-, en métaux communs, n.d.a.</v>
      </c>
      <c r="C8759">
        <v>475571</v>
      </c>
      <c r="D8759">
        <v>114</v>
      </c>
    </row>
    <row r="8760" spans="1:4" x14ac:dyDescent="0.25">
      <c r="A8760" t="str">
        <f>T("   841829")</f>
        <v xml:space="preserve">   841829</v>
      </c>
      <c r="B8760" t="str">
        <f>T("   Réfrigérateurs ménagers à absorption, non-électriques")</f>
        <v xml:space="preserve">   Réfrigérateurs ménagers à absorption, non-électriques</v>
      </c>
      <c r="C8760">
        <v>4592</v>
      </c>
      <c r="D8760">
        <v>19</v>
      </c>
    </row>
    <row r="8761" spans="1:4" x14ac:dyDescent="0.25">
      <c r="A8761" t="str">
        <f>T("   850212")</f>
        <v xml:space="preserve">   850212</v>
      </c>
      <c r="B8761" t="str">
        <f>T("   GROUPES ÉLECTROGÈNES À MOTEUR À PISTON À ALLUMAGE PAR COMPRESSION 'MOTEURS DIESEL OU SEMI-DIESEL', PUISSANCE &gt; 75 KVA MAIS &lt;= 375 KVA")</f>
        <v xml:space="preserve">   GROUPES ÉLECTROGÈNES À MOTEUR À PISTON À ALLUMAGE PAR COMPRESSION 'MOTEURS DIESEL OU SEMI-DIESEL', PUISSANCE &gt; 75 KVA MAIS &lt;= 375 KVA</v>
      </c>
      <c r="C8761">
        <v>16403592</v>
      </c>
      <c r="D8761">
        <v>3185</v>
      </c>
    </row>
    <row r="8762" spans="1:4" x14ac:dyDescent="0.25">
      <c r="A8762" t="str">
        <f>T("   853929")</f>
        <v xml:space="preserve">   853929</v>
      </c>
      <c r="B8762" t="str">
        <f>T("   Lampes et tubes à incandescence électriques (autres que lampes et tubes halogènes, au tungstène, lampes d'une puissance &lt;= 200 W et pour une tension &gt; 100 V, et lampes à rayons ultraviolets ou infrarouges)")</f>
        <v xml:space="preserve">   Lampes et tubes à incandescence électriques (autres que lampes et tubes halogènes, au tungstène, lampes d'une puissance &lt;= 200 W et pour une tension &gt; 100 V, et lampes à rayons ultraviolets ou infrarouges)</v>
      </c>
      <c r="C8762">
        <v>6550000</v>
      </c>
      <c r="D8762">
        <v>5941</v>
      </c>
    </row>
    <row r="8763" spans="1:4" x14ac:dyDescent="0.25">
      <c r="A8763" t="str">
        <f>T("   870120")</f>
        <v xml:space="preserve">   870120</v>
      </c>
      <c r="B8763" t="str">
        <f>T("   Tracteurs routiers pour semi-remorques")</f>
        <v xml:space="preserve">   Tracteurs routiers pour semi-remorques</v>
      </c>
      <c r="C8763">
        <v>4000000</v>
      </c>
      <c r="D8763">
        <v>11100</v>
      </c>
    </row>
    <row r="8764" spans="1:4" x14ac:dyDescent="0.25">
      <c r="A8764" t="str">
        <f>T("   870290")</f>
        <v xml:space="preserve">   870290</v>
      </c>
      <c r="B8764" t="s">
        <v>473</v>
      </c>
      <c r="C8764">
        <v>63516200</v>
      </c>
      <c r="D8764">
        <v>11750</v>
      </c>
    </row>
    <row r="8765" spans="1:4" x14ac:dyDescent="0.25">
      <c r="A8765" t="str">
        <f>T("   870421")</f>
        <v xml:space="preserve">   870421</v>
      </c>
      <c r="B8765" t="s">
        <v>481</v>
      </c>
      <c r="C8765">
        <v>2400000</v>
      </c>
      <c r="D8765">
        <v>2450</v>
      </c>
    </row>
    <row r="8766" spans="1:4" x14ac:dyDescent="0.25">
      <c r="A8766" t="str">
        <f>T("   870431")</f>
        <v xml:space="preserve">   870431</v>
      </c>
      <c r="B8766" t="s">
        <v>484</v>
      </c>
      <c r="C8766">
        <v>8400000</v>
      </c>
      <c r="D8766">
        <v>7480</v>
      </c>
    </row>
    <row r="8767" spans="1:4" x14ac:dyDescent="0.25">
      <c r="A8767" t="str">
        <f>T("   870490")</f>
        <v xml:space="preserve">   870490</v>
      </c>
      <c r="B8767" t="str">
        <f>T("   Véhicules automobiles pour le transport de marchandises à moteur autre qu'à piston à allumage par étincelles ou moteur diesel ou semi-diesel (sauf tombereaux automoteurs du n° 8704.10, véhicules automobiles à usages spéciaux du n° 8705)")</f>
        <v xml:space="preserve">   Véhicules automobiles pour le transport de marchandises à moteur autre qu'à piston à allumage par étincelles ou moteur diesel ou semi-diesel (sauf tombereaux automoteurs du n° 8704.10, véhicules automobiles à usages spéciaux du n° 8705)</v>
      </c>
      <c r="C8767">
        <v>1200000</v>
      </c>
      <c r="D8767">
        <v>7640</v>
      </c>
    </row>
    <row r="8768" spans="1:4" x14ac:dyDescent="0.25">
      <c r="A8768" t="str">
        <f>T("   870590")</f>
        <v xml:space="preserve">   870590</v>
      </c>
      <c r="B8768" t="s">
        <v>486</v>
      </c>
      <c r="C8768">
        <v>129880080</v>
      </c>
      <c r="D8768">
        <v>5190</v>
      </c>
    </row>
    <row r="8769" spans="1:4" x14ac:dyDescent="0.25">
      <c r="A8769" t="str">
        <f>T("   910599")</f>
        <v xml:space="preserve">   910599</v>
      </c>
      <c r="B8769" t="s">
        <v>505</v>
      </c>
      <c r="C8769">
        <v>83963</v>
      </c>
      <c r="D8769">
        <v>16</v>
      </c>
    </row>
    <row r="8770" spans="1:4" x14ac:dyDescent="0.25">
      <c r="A8770" t="str">
        <f>T("   940320")</f>
        <v xml:space="preserve">   940320</v>
      </c>
      <c r="B8770" t="str">
        <f>T("   Meubles en métal, sauf meubles de bureau, sièges et mobilier pour la médecine, la chirurgie, l'art dentaire ou vétérinaire")</f>
        <v xml:space="preserve">   Meubles en métal, sauf meubles de bureau, sièges et mobilier pour la médecine, la chirurgie, l'art dentaire ou vétérinaire</v>
      </c>
      <c r="C8770">
        <v>38433</v>
      </c>
      <c r="D8770">
        <v>1200</v>
      </c>
    </row>
    <row r="8771" spans="1:4" x14ac:dyDescent="0.25">
      <c r="A8771" t="str">
        <f>T("   960839")</f>
        <v xml:space="preserve">   960839</v>
      </c>
      <c r="B8771" t="str">
        <f>T("   Stylos à plume et autres stylos (autres qu'à dessiner à l'encre de Chine)")</f>
        <v xml:space="preserve">   Stylos à plume et autres stylos (autres qu'à dessiner à l'encre de Chine)</v>
      </c>
      <c r="C8771">
        <v>287310</v>
      </c>
      <c r="D8771">
        <v>54</v>
      </c>
    </row>
    <row r="8772" spans="1:4" x14ac:dyDescent="0.25">
      <c r="A8772" t="str">
        <f>T("QA")</f>
        <v>QA</v>
      </c>
      <c r="B8772" t="str">
        <f>T("Qatar")</f>
        <v>Qatar</v>
      </c>
    </row>
    <row r="8773" spans="1:4" x14ac:dyDescent="0.25">
      <c r="A8773" t="str">
        <f>T("   ZZ_Total_Produit_SH6")</f>
        <v xml:space="preserve">   ZZ_Total_Produit_SH6</v>
      </c>
      <c r="B8773" t="str">
        <f>T("   ZZ_Total_Produit_SH6")</f>
        <v xml:space="preserve">   ZZ_Total_Produit_SH6</v>
      </c>
      <c r="C8773">
        <v>30584571.688000001</v>
      </c>
      <c r="D8773">
        <v>57815</v>
      </c>
    </row>
    <row r="8774" spans="1:4" x14ac:dyDescent="0.25">
      <c r="A8774" t="str">
        <f>T("   110100")</f>
        <v xml:space="preserve">   110100</v>
      </c>
      <c r="B8774" t="str">
        <f>T("   Farines de froment [blé] ou de méteil")</f>
        <v xml:space="preserve">   Farines de froment [blé] ou de méteil</v>
      </c>
      <c r="C8774">
        <v>6186139.6880000001</v>
      </c>
      <c r="D8774">
        <v>23115</v>
      </c>
    </row>
    <row r="8775" spans="1:4" x14ac:dyDescent="0.25">
      <c r="A8775" t="str">
        <f>T("   390110")</f>
        <v xml:space="preserve">   390110</v>
      </c>
      <c r="B8775" t="str">
        <f>T("   Polyéthylène d'une densité &lt; 0,94, sous formes primaires")</f>
        <v xml:space="preserve">   Polyéthylène d'une densité &lt; 0,94, sous formes primaires</v>
      </c>
      <c r="C8775">
        <v>24398432</v>
      </c>
      <c r="D8775">
        <v>34700</v>
      </c>
    </row>
    <row r="8776" spans="1:4" x14ac:dyDescent="0.25">
      <c r="A8776" t="str">
        <f>T("RO")</f>
        <v>RO</v>
      </c>
      <c r="B8776" t="str">
        <f>T("Roumanie")</f>
        <v>Roumanie</v>
      </c>
    </row>
    <row r="8777" spans="1:4" x14ac:dyDescent="0.25">
      <c r="A8777" t="str">
        <f>T("   ZZ_Total_Produit_SH6")</f>
        <v xml:space="preserve">   ZZ_Total_Produit_SH6</v>
      </c>
      <c r="B8777" t="str">
        <f>T("   ZZ_Total_Produit_SH6")</f>
        <v xml:space="preserve">   ZZ_Total_Produit_SH6</v>
      </c>
      <c r="C8777">
        <v>53417798</v>
      </c>
      <c r="D8777">
        <v>5081</v>
      </c>
    </row>
    <row r="8778" spans="1:4" x14ac:dyDescent="0.25">
      <c r="A8778" t="str">
        <f>T("   401110")</f>
        <v xml:space="preserve">   401110</v>
      </c>
      <c r="B8778" t="str">
        <f>T("   Pneumatiques neufs, en caoutchouc, des types utilisés pour les voitures de tourisme, y.c. les voitures du type 'break' et les voitures de course")</f>
        <v xml:space="preserve">   Pneumatiques neufs, en caoutchouc, des types utilisés pour les voitures de tourisme, y.c. les voitures du type 'break' et les voitures de course</v>
      </c>
      <c r="C8778">
        <v>12002756</v>
      </c>
      <c r="D8778">
        <v>3523</v>
      </c>
    </row>
    <row r="8779" spans="1:4" x14ac:dyDescent="0.25">
      <c r="A8779" t="str">
        <f>T("   420229")</f>
        <v xml:space="preserve">   420229</v>
      </c>
      <c r="B8779" t="str">
        <f>T("   Sacs à main, même à bandoulière, y.c. ceux sans poignée, à surface extérieure en fibre vulcanisée ou en carton, ou recouverts, en totalité ou en majeure partie, de ces mêmes matières ou de papier")</f>
        <v xml:space="preserve">   Sacs à main, même à bandoulière, y.c. ceux sans poignée, à surface extérieure en fibre vulcanisée ou en carton, ou recouverts, en totalité ou en majeure partie, de ces mêmes matières ou de papier</v>
      </c>
      <c r="C8779">
        <v>459172</v>
      </c>
      <c r="D8779">
        <v>16</v>
      </c>
    </row>
    <row r="8780" spans="1:4" x14ac:dyDescent="0.25">
      <c r="A8780" t="str">
        <f>T("   610469")</f>
        <v xml:space="preserve">   610469</v>
      </c>
      <c r="B8780" t="s">
        <v>261</v>
      </c>
      <c r="C8780">
        <v>299000</v>
      </c>
      <c r="D8780">
        <v>188</v>
      </c>
    </row>
    <row r="8781" spans="1:4" x14ac:dyDescent="0.25">
      <c r="A8781" t="str">
        <f>T("   640590")</f>
        <v xml:space="preserve">   640590</v>
      </c>
      <c r="B8781" t="s">
        <v>290</v>
      </c>
      <c r="C8781">
        <v>57570</v>
      </c>
      <c r="D8781">
        <v>50</v>
      </c>
    </row>
    <row r="8782" spans="1:4" x14ac:dyDescent="0.25">
      <c r="A8782" t="str">
        <f>T("   847130")</f>
        <v xml:space="preserve">   847130</v>
      </c>
      <c r="B8782" t="str">
        <f>T("   Machines automatiques de traitement de l'information numériques, portatives, d'un poids &lt;= 10 kg, comportant au moins une unité centrale de traitement, un clavier et un écran (à l'excl. des unités périphériques)")</f>
        <v xml:space="preserve">   Machines automatiques de traitement de l'information numériques, portatives, d'un poids &lt;= 10 kg, comportant au moins une unité centrale de traitement, un clavier et un écran (à l'excl. des unités périphériques)</v>
      </c>
      <c r="C8782">
        <v>36045002</v>
      </c>
      <c r="D8782">
        <v>1257</v>
      </c>
    </row>
    <row r="8783" spans="1:4" x14ac:dyDescent="0.25">
      <c r="A8783" t="str">
        <f>T("   847141")</f>
        <v xml:space="preserve">   847141</v>
      </c>
      <c r="B8783" t="s">
        <v>433</v>
      </c>
      <c r="C8783">
        <v>1269939</v>
      </c>
      <c r="D8783">
        <v>14</v>
      </c>
    </row>
    <row r="8784" spans="1:4" x14ac:dyDescent="0.25">
      <c r="A8784" t="str">
        <f>T("   852813")</f>
        <v xml:space="preserve">   852813</v>
      </c>
      <c r="B8784" t="str">
        <f>T("   Appareils récepteurs pour la télévision en noir et blanc ou en autres monochromes, même incorporant un appareil récepteur de radiodiffusion ou un appareil d'enregistrement ou de reproduction du son ou des images")</f>
        <v xml:space="preserve">   Appareils récepteurs pour la télévision en noir et blanc ou en autres monochromes, même incorporant un appareil récepteur de radiodiffusion ou un appareil d'enregistrement ou de reproduction du son ou des images</v>
      </c>
      <c r="C8784">
        <v>108684</v>
      </c>
      <c r="D8784">
        <v>20</v>
      </c>
    </row>
    <row r="8785" spans="1:4" x14ac:dyDescent="0.25">
      <c r="A8785" t="str">
        <f>T("   870899")</f>
        <v xml:space="preserve">   870899</v>
      </c>
      <c r="B8785"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8785">
        <v>360951</v>
      </c>
      <c r="D8785">
        <v>4</v>
      </c>
    </row>
    <row r="8786" spans="1:4" x14ac:dyDescent="0.25">
      <c r="A8786" t="str">
        <f>T("   902610")</f>
        <v xml:space="preserve">   902610</v>
      </c>
      <c r="B8786" t="str">
        <f>T("   Instruments et appareils pour la mesure ou le contrôle du débit ou du niveau des liquides (à l'excl. des compteurs et des instruments et appareils pour la régulation ou le contrôle automatiques)")</f>
        <v xml:space="preserve">   Instruments et appareils pour la mesure ou le contrôle du débit ou du niveau des liquides (à l'excl. des compteurs et des instruments et appareils pour la régulation ou le contrôle automatiques)</v>
      </c>
      <c r="C8786">
        <v>2814724</v>
      </c>
      <c r="D8786">
        <v>9</v>
      </c>
    </row>
    <row r="8787" spans="1:4" x14ac:dyDescent="0.25">
      <c r="A8787" t="str">
        <f>T("RU")</f>
        <v>RU</v>
      </c>
      <c r="B8787" t="str">
        <f>T("Russie, Fédération de")</f>
        <v>Russie, Fédération de</v>
      </c>
    </row>
    <row r="8788" spans="1:4" x14ac:dyDescent="0.25">
      <c r="A8788" t="str">
        <f>T("   ZZ_Total_Produit_SH6")</f>
        <v xml:space="preserve">   ZZ_Total_Produit_SH6</v>
      </c>
      <c r="B8788" t="str">
        <f>T("   ZZ_Total_Produit_SH6")</f>
        <v xml:space="preserve">   ZZ_Total_Produit_SH6</v>
      </c>
      <c r="C8788">
        <v>2284137399</v>
      </c>
      <c r="D8788">
        <v>5962084.0599999996</v>
      </c>
    </row>
    <row r="8789" spans="1:4" x14ac:dyDescent="0.25">
      <c r="A8789" t="str">
        <f>T("   271019")</f>
        <v xml:space="preserve">   271019</v>
      </c>
      <c r="B8789" t="str">
        <f>T("   Huiles moyennes et préparations, de pétrole ou de minéraux bitumineux, n.d.a.")</f>
        <v xml:space="preserve">   Huiles moyennes et préparations, de pétrole ou de minéraux bitumineux, n.d.a.</v>
      </c>
      <c r="C8789">
        <v>2263676596</v>
      </c>
      <c r="D8789">
        <v>5958850</v>
      </c>
    </row>
    <row r="8790" spans="1:4" x14ac:dyDescent="0.25">
      <c r="A8790" t="str">
        <f>T("   620590")</f>
        <v xml:space="preserve">   620590</v>
      </c>
      <c r="B8790"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8790">
        <v>800000</v>
      </c>
      <c r="D8790">
        <v>900</v>
      </c>
    </row>
    <row r="8791" spans="1:4" x14ac:dyDescent="0.25">
      <c r="A8791" t="str">
        <f>T("   731815")</f>
        <v xml:space="preserve">   731815</v>
      </c>
      <c r="B8791" t="s">
        <v>354</v>
      </c>
      <c r="C8791">
        <v>169238</v>
      </c>
      <c r="D8791">
        <v>6</v>
      </c>
    </row>
    <row r="8792" spans="1:4" x14ac:dyDescent="0.25">
      <c r="A8792" t="str">
        <f>T("   732394")</f>
        <v xml:space="preserve">   732394</v>
      </c>
      <c r="B8792" t="s">
        <v>361</v>
      </c>
      <c r="C8792">
        <v>500000</v>
      </c>
      <c r="D8792">
        <v>500</v>
      </c>
    </row>
    <row r="8793" spans="1:4" x14ac:dyDescent="0.25">
      <c r="A8793" t="str">
        <f>T("   843139")</f>
        <v xml:space="preserve">   843139</v>
      </c>
      <c r="B8793" t="str">
        <f>T("   Parties de machines et appareils du n° 8428, n.d.a.")</f>
        <v xml:space="preserve">   Parties de machines et appareils du n° 8428, n.d.a.</v>
      </c>
      <c r="C8793">
        <v>1146749</v>
      </c>
      <c r="D8793">
        <v>30</v>
      </c>
    </row>
    <row r="8794" spans="1:4" x14ac:dyDescent="0.25">
      <c r="A8794" t="str">
        <f>T("   843149")</f>
        <v xml:space="preserve">   843149</v>
      </c>
      <c r="B8794" t="str">
        <f>T("   Parties de machines et appareils du n° 8426, 8429 ou 8430, n.d.a.")</f>
        <v xml:space="preserve">   Parties de machines et appareils du n° 8426, 8429 ou 8430, n.d.a.</v>
      </c>
      <c r="C8794">
        <v>1583487</v>
      </c>
      <c r="D8794">
        <v>65</v>
      </c>
    </row>
    <row r="8795" spans="1:4" x14ac:dyDescent="0.25">
      <c r="A8795" t="str">
        <f>T("   847180")</f>
        <v xml:space="preserve">   847180</v>
      </c>
      <c r="B8795" t="str">
        <f>T("   Unités de machines automatiques de traitement de l'information, numériques (à l'excl. des unités de traitement, unités d'entrée ou de sortie et unités de mémoire)")</f>
        <v xml:space="preserve">   Unités de machines automatiques de traitement de l'information, numériques (à l'excl. des unités de traitement, unités d'entrée ou de sortie et unités de mémoire)</v>
      </c>
      <c r="C8795">
        <v>3721195</v>
      </c>
      <c r="D8795">
        <v>33.26</v>
      </c>
    </row>
    <row r="8796" spans="1:4" x14ac:dyDescent="0.25">
      <c r="A8796" t="str">
        <f>T("   847490")</f>
        <v xml:space="preserve">   847490</v>
      </c>
      <c r="B8796" t="str">
        <f>T("   Parties des machines et appareils pour le travail des matières minérales du n° 8474, n.d.a.")</f>
        <v xml:space="preserve">   Parties des machines et appareils pour le travail des matières minérales du n° 8474, n.d.a.</v>
      </c>
      <c r="C8796">
        <v>6398234</v>
      </c>
      <c r="D8796">
        <v>450</v>
      </c>
    </row>
    <row r="8797" spans="1:4" x14ac:dyDescent="0.25">
      <c r="A8797" t="str">
        <f>T("   848280")</f>
        <v xml:space="preserve">   848280</v>
      </c>
      <c r="B8797" t="s">
        <v>442</v>
      </c>
      <c r="C8797">
        <v>274191</v>
      </c>
      <c r="D8797">
        <v>11</v>
      </c>
    </row>
    <row r="8798" spans="1:4" x14ac:dyDescent="0.25">
      <c r="A8798" t="str">
        <f>T("   851780")</f>
        <v xml:space="preserve">   851780</v>
      </c>
      <c r="B8798" t="s">
        <v>453</v>
      </c>
      <c r="C8798">
        <v>3354252</v>
      </c>
      <c r="D8798">
        <v>21</v>
      </c>
    </row>
    <row r="8799" spans="1:4" x14ac:dyDescent="0.25">
      <c r="A8799" t="str">
        <f>T("   851790")</f>
        <v xml:space="preserve">   851790</v>
      </c>
      <c r="B8799" t="s">
        <v>454</v>
      </c>
      <c r="C8799">
        <v>813457</v>
      </c>
      <c r="D8799">
        <v>17.8</v>
      </c>
    </row>
    <row r="8800" spans="1:4" x14ac:dyDescent="0.25">
      <c r="A8800" t="str">
        <f>T("   940350")</f>
        <v xml:space="preserve">   940350</v>
      </c>
      <c r="B8800" t="str">
        <f>T("   Meubles pour chambres à coucher, en bois (sauf sièges)")</f>
        <v xml:space="preserve">   Meubles pour chambres à coucher, en bois (sauf sièges)</v>
      </c>
      <c r="C8800">
        <v>1700000</v>
      </c>
      <c r="D8800">
        <v>1200</v>
      </c>
    </row>
    <row r="8801" spans="1:4" x14ac:dyDescent="0.25">
      <c r="A8801" t="str">
        <f>T("RW")</f>
        <v>RW</v>
      </c>
      <c r="B8801" t="str">
        <f>T("Rwanda")</f>
        <v>Rwanda</v>
      </c>
    </row>
    <row r="8802" spans="1:4" x14ac:dyDescent="0.25">
      <c r="A8802" t="str">
        <f>T("   ZZ_Total_Produit_SH6")</f>
        <v xml:space="preserve">   ZZ_Total_Produit_SH6</v>
      </c>
      <c r="B8802" t="str">
        <f>T("   ZZ_Total_Produit_SH6")</f>
        <v xml:space="preserve">   ZZ_Total_Produit_SH6</v>
      </c>
      <c r="C8802">
        <v>3000000</v>
      </c>
      <c r="D8802">
        <v>2343</v>
      </c>
    </row>
    <row r="8803" spans="1:4" x14ac:dyDescent="0.25">
      <c r="A8803" t="str">
        <f>T("   620590")</f>
        <v xml:space="preserve">   620590</v>
      </c>
      <c r="B8803"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8803">
        <v>800000</v>
      </c>
      <c r="D8803">
        <v>450</v>
      </c>
    </row>
    <row r="8804" spans="1:4" x14ac:dyDescent="0.25">
      <c r="A8804" t="str">
        <f>T("   732394")</f>
        <v xml:space="preserve">   732394</v>
      </c>
      <c r="B8804" t="s">
        <v>361</v>
      </c>
      <c r="C8804">
        <v>400000</v>
      </c>
      <c r="D8804">
        <v>293</v>
      </c>
    </row>
    <row r="8805" spans="1:4" x14ac:dyDescent="0.25">
      <c r="A8805" t="str">
        <f>T("   940350")</f>
        <v xml:space="preserve">   940350</v>
      </c>
      <c r="B8805" t="str">
        <f>T("   Meubles pour chambres à coucher, en bois (sauf sièges)")</f>
        <v xml:space="preserve">   Meubles pour chambres à coucher, en bois (sauf sièges)</v>
      </c>
      <c r="C8805">
        <v>1800000</v>
      </c>
      <c r="D8805">
        <v>1600</v>
      </c>
    </row>
    <row r="8806" spans="1:4" x14ac:dyDescent="0.25">
      <c r="A8806" t="str">
        <f>T("SA")</f>
        <v>SA</v>
      </c>
      <c r="B8806" t="str">
        <f>T("Arabie Saoudite")</f>
        <v>Arabie Saoudite</v>
      </c>
    </row>
    <row r="8807" spans="1:4" x14ac:dyDescent="0.25">
      <c r="A8807" t="str">
        <f>T("   ZZ_Total_Produit_SH6")</f>
        <v xml:space="preserve">   ZZ_Total_Produit_SH6</v>
      </c>
      <c r="B8807" t="str">
        <f>T("   ZZ_Total_Produit_SH6")</f>
        <v xml:space="preserve">   ZZ_Total_Produit_SH6</v>
      </c>
      <c r="C8807">
        <v>391249954</v>
      </c>
      <c r="D8807">
        <v>924877</v>
      </c>
    </row>
    <row r="8808" spans="1:4" x14ac:dyDescent="0.25">
      <c r="A8808" t="str">
        <f>T("   220110")</f>
        <v xml:space="preserve">   220110</v>
      </c>
      <c r="B8808" t="str">
        <f>T("   Eaux minérales et eaux gazéifiées, non additionnées de sucre ou d'autres édulcorants ni aromatisées")</f>
        <v xml:space="preserve">   Eaux minérales et eaux gazéifiées, non additionnées de sucre ou d'autres édulcorants ni aromatisées</v>
      </c>
      <c r="C8808">
        <v>500000</v>
      </c>
      <c r="D8808">
        <v>1000</v>
      </c>
    </row>
    <row r="8809" spans="1:4" x14ac:dyDescent="0.25">
      <c r="A8809" t="str">
        <f>T("   220290")</f>
        <v xml:space="preserve">   220290</v>
      </c>
      <c r="B8809" t="str">
        <f>T("   BOISSONS NON-ALCOOLIQUES (À L'EXCL. DES EAUX, DES JUS DE FRUITS OU DE LÉGUMES AINSI QUE DU LAIT)")</f>
        <v xml:space="preserve">   BOISSONS NON-ALCOOLIQUES (À L'EXCL. DES EAUX, DES JUS DE FRUITS OU DE LÉGUMES AINSI QUE DU LAIT)</v>
      </c>
      <c r="C8809">
        <v>13761283</v>
      </c>
      <c r="D8809">
        <v>54076</v>
      </c>
    </row>
    <row r="8810" spans="1:4" x14ac:dyDescent="0.25">
      <c r="A8810" t="str">
        <f>T("   271011")</f>
        <v xml:space="preserve">   271011</v>
      </c>
      <c r="B8810" t="str">
        <f>T("   HUILES LÉGÈRES ET PRÉPARATIONS DE PÉTROLE OU DE MINÉRAUX BITUMINEUX DISTILLANT EN VOLUME, Y.C. LES PERTES, &gt;= 90% À 210°C, D'APRÈS LA MÉTHODE ASTM D 86")</f>
        <v xml:space="preserve">   HUILES LÉGÈRES ET PRÉPARATIONS DE PÉTROLE OU DE MINÉRAUX BITUMINEUX DISTILLANT EN VOLUME, Y.C. LES PERTES, &gt;= 90% À 210°C, D'APRÈS LA MÉTHODE ASTM D 86</v>
      </c>
      <c r="C8810">
        <v>1003170</v>
      </c>
      <c r="D8810">
        <v>2972</v>
      </c>
    </row>
    <row r="8811" spans="1:4" x14ac:dyDescent="0.25">
      <c r="A8811" t="str">
        <f>T("   271019")</f>
        <v xml:space="preserve">   271019</v>
      </c>
      <c r="B8811" t="str">
        <f>T("   Huiles moyennes et préparations, de pétrole ou de minéraux bitumineux, n.d.a.")</f>
        <v xml:space="preserve">   Huiles moyennes et préparations, de pétrole ou de minéraux bitumineux, n.d.a.</v>
      </c>
      <c r="C8811">
        <v>46294449</v>
      </c>
      <c r="D8811">
        <v>606005</v>
      </c>
    </row>
    <row r="8812" spans="1:4" x14ac:dyDescent="0.25">
      <c r="A8812" t="str">
        <f>T("   282300")</f>
        <v xml:space="preserve">   282300</v>
      </c>
      <c r="B8812" t="str">
        <f>T("   Oxydes de titane")</f>
        <v xml:space="preserve">   Oxydes de titane</v>
      </c>
      <c r="C8812">
        <v>44674389</v>
      </c>
      <c r="D8812">
        <v>20640</v>
      </c>
    </row>
    <row r="8813" spans="1:4" x14ac:dyDescent="0.25">
      <c r="A8813" t="str">
        <f>T("   330499")</f>
        <v xml:space="preserve">   330499</v>
      </c>
      <c r="B8813" t="s">
        <v>100</v>
      </c>
      <c r="C8813">
        <v>160711</v>
      </c>
      <c r="D8813">
        <v>650</v>
      </c>
    </row>
    <row r="8814" spans="1:4" x14ac:dyDescent="0.25">
      <c r="A8814" t="str">
        <f>T("   340399")</f>
        <v xml:space="preserve">   340399</v>
      </c>
      <c r="B8814" t="s">
        <v>106</v>
      </c>
      <c r="C8814">
        <v>59561</v>
      </c>
      <c r="D8814">
        <v>22.54</v>
      </c>
    </row>
    <row r="8815" spans="1:4" x14ac:dyDescent="0.25">
      <c r="A8815" t="str">
        <f>T("   380810")</f>
        <v xml:space="preserve">   380810</v>
      </c>
      <c r="B8815" t="str">
        <f>T("   Insecticides présentés dans des formes ou emballages de vente au détail ou à l'état de préparations ou sous forme d'articles")</f>
        <v xml:space="preserve">   Insecticides présentés dans des formes ou emballages de vente au détail ou à l'état de préparations ou sous forme d'articles</v>
      </c>
      <c r="C8815">
        <v>37001391</v>
      </c>
      <c r="D8815">
        <v>17535</v>
      </c>
    </row>
    <row r="8816" spans="1:4" x14ac:dyDescent="0.25">
      <c r="A8816" t="str">
        <f>T("   490199")</f>
        <v xml:space="preserve">   490199</v>
      </c>
      <c r="B8816"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8816">
        <v>420041</v>
      </c>
      <c r="D8816">
        <v>1035</v>
      </c>
    </row>
    <row r="8817" spans="1:4" x14ac:dyDescent="0.25">
      <c r="A8817" t="str">
        <f>T("   570490")</f>
        <v xml:space="preserve">   570490</v>
      </c>
      <c r="B8817" t="str">
        <f>T("   TAPIS ET AUTRES REVÊTEMENTS DE SOL, EN FEUTRE, NON TOUFFETÉS NI FLOQUÉS, MÊME CONFECTIONNÉS (À L'EXCL. DES CARREAUX D'UNE SUPERFICIE &lt;= 0,3 M¦)")</f>
        <v xml:space="preserve">   TAPIS ET AUTRES REVÊTEMENTS DE SOL, EN FEUTRE, NON TOUFFETÉS NI FLOQUÉS, MÊME CONFECTIONNÉS (À L'EXCL. DES CARREAUX D'UNE SUPERFICIE &lt;= 0,3 M¦)</v>
      </c>
      <c r="C8817">
        <v>100362</v>
      </c>
      <c r="D8817">
        <v>200</v>
      </c>
    </row>
    <row r="8818" spans="1:4" x14ac:dyDescent="0.25">
      <c r="A8818" t="str">
        <f>T("   610190")</f>
        <v xml:space="preserve">   610190</v>
      </c>
      <c r="B8818" t="s">
        <v>260</v>
      </c>
      <c r="C8818">
        <v>1533920</v>
      </c>
      <c r="D8818">
        <v>15000</v>
      </c>
    </row>
    <row r="8819" spans="1:4" x14ac:dyDescent="0.25">
      <c r="A8819" t="str">
        <f>T("   610990")</f>
        <v xml:space="preserve">   610990</v>
      </c>
      <c r="B8819" t="str">
        <f>T("   T-shirts et maillots de corps, en bonneterie, de matières textiles (sauf de coton)")</f>
        <v xml:space="preserve">   T-shirts et maillots de corps, en bonneterie, de matières textiles (sauf de coton)</v>
      </c>
      <c r="C8819">
        <v>804249</v>
      </c>
      <c r="D8819">
        <v>2602</v>
      </c>
    </row>
    <row r="8820" spans="1:4" x14ac:dyDescent="0.25">
      <c r="A8820" t="str">
        <f>T("   620590")</f>
        <v xml:space="preserve">   620590</v>
      </c>
      <c r="B8820"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8820">
        <v>983227</v>
      </c>
      <c r="D8820">
        <v>3357</v>
      </c>
    </row>
    <row r="8821" spans="1:4" x14ac:dyDescent="0.25">
      <c r="A8821" t="str">
        <f>T("   621040")</f>
        <v xml:space="preserve">   621040</v>
      </c>
      <c r="B8821" t="s">
        <v>272</v>
      </c>
      <c r="C8821">
        <v>55000</v>
      </c>
      <c r="D8821">
        <v>3850</v>
      </c>
    </row>
    <row r="8822" spans="1:4" x14ac:dyDescent="0.25">
      <c r="A8822" t="str">
        <f>T("   630399")</f>
        <v xml:space="preserve">   630399</v>
      </c>
      <c r="B8822" t="str">
        <f>T("   Vitrages, rideaux et stores d'intérieur ainsi que cantonnières et tours de lit, de matières textiles (autres que de coton et fibres synthétiques, autres qu'en bonneterie et autres que stores d'extérieur)")</f>
        <v xml:space="preserve">   Vitrages, rideaux et stores d'intérieur ainsi que cantonnières et tours de lit, de matières textiles (autres que de coton et fibres synthétiques, autres qu'en bonneterie et autres que stores d'extérieur)</v>
      </c>
      <c r="C8822">
        <v>2155475</v>
      </c>
      <c r="D8822">
        <v>1350</v>
      </c>
    </row>
    <row r="8823" spans="1:4" x14ac:dyDescent="0.25">
      <c r="A8823" t="str">
        <f>T("   630900")</f>
        <v xml:space="preserve">   630900</v>
      </c>
      <c r="B8823" t="s">
        <v>280</v>
      </c>
      <c r="C8823">
        <v>16646261</v>
      </c>
      <c r="D8823">
        <v>51500</v>
      </c>
    </row>
    <row r="8824" spans="1:4" x14ac:dyDescent="0.25">
      <c r="A8824" t="str">
        <f>T("   660110")</f>
        <v xml:space="preserve">   660110</v>
      </c>
      <c r="B8824" t="str">
        <f>T("   Parasols de jardin et articles simil. (sauf tentes de plage)")</f>
        <v xml:space="preserve">   Parasols de jardin et articles simil. (sauf tentes de plage)</v>
      </c>
      <c r="C8824">
        <v>100687</v>
      </c>
      <c r="D8824">
        <v>400</v>
      </c>
    </row>
    <row r="8825" spans="1:4" x14ac:dyDescent="0.25">
      <c r="A8825" t="str">
        <f>T("   660199")</f>
        <v xml:space="preserve">   660199</v>
      </c>
      <c r="B8825" t="str">
        <f>T("   Parapluies, y.c. les parapluies-cannes et ombrelles (sauf parapluies et ombrelles à mât ou à manche télescopique, parasols de jardin et articles simil. et sauf jouets d'enfants)")</f>
        <v xml:space="preserve">   Parapluies, y.c. les parapluies-cannes et ombrelles (sauf parapluies et ombrelles à mât ou à manche télescopique, parasols de jardin et articles simil. et sauf jouets d'enfants)</v>
      </c>
      <c r="C8825">
        <v>150215</v>
      </c>
      <c r="D8825">
        <v>618</v>
      </c>
    </row>
    <row r="8826" spans="1:4" x14ac:dyDescent="0.25">
      <c r="A8826" t="str">
        <f>T("   732111")</f>
        <v xml:space="preserve">   732111</v>
      </c>
      <c r="B8826" t="s">
        <v>356</v>
      </c>
      <c r="C8826">
        <v>23397</v>
      </c>
      <c r="D8826">
        <v>76</v>
      </c>
    </row>
    <row r="8827" spans="1:4" x14ac:dyDescent="0.25">
      <c r="A8827" t="str">
        <f>T("   732394")</f>
        <v xml:space="preserve">   732394</v>
      </c>
      <c r="B8827" t="s">
        <v>361</v>
      </c>
      <c r="C8827">
        <v>450000</v>
      </c>
      <c r="D8827">
        <v>400</v>
      </c>
    </row>
    <row r="8828" spans="1:4" x14ac:dyDescent="0.25">
      <c r="A8828" t="str">
        <f>T("   732399")</f>
        <v xml:space="preserve">   732399</v>
      </c>
      <c r="B8828" t="s">
        <v>362</v>
      </c>
      <c r="C8828">
        <v>1592015</v>
      </c>
      <c r="D8828">
        <v>3264</v>
      </c>
    </row>
    <row r="8829" spans="1:4" x14ac:dyDescent="0.25">
      <c r="A8829" t="str">
        <f>T("   761010")</f>
        <v xml:space="preserve">   761010</v>
      </c>
      <c r="B8829" t="str">
        <f>T("   Portes, fenêtres et leurs cadres, chambranles et seuils, en aluminium (sauf pièces de garnissage)")</f>
        <v xml:space="preserve">   Portes, fenêtres et leurs cadres, chambranles et seuils, en aluminium (sauf pièces de garnissage)</v>
      </c>
      <c r="C8829">
        <v>3500000</v>
      </c>
      <c r="D8829">
        <v>6000</v>
      </c>
    </row>
    <row r="8830" spans="1:4" x14ac:dyDescent="0.25">
      <c r="A8830" t="str">
        <f>T("   810820")</f>
        <v xml:space="preserve">   810820</v>
      </c>
      <c r="B8830" t="str">
        <f>T("   Titane sous forme brute; poudres de titane")</f>
        <v xml:space="preserve">   Titane sous forme brute; poudres de titane</v>
      </c>
      <c r="C8830">
        <v>37258357</v>
      </c>
      <c r="D8830">
        <v>20640</v>
      </c>
    </row>
    <row r="8831" spans="1:4" x14ac:dyDescent="0.25">
      <c r="A8831" t="str">
        <f>T("   830629")</f>
        <v xml:space="preserve">   830629</v>
      </c>
      <c r="B8831" t="str">
        <f>T("   Statuettes et autres objets d'ornement, en métaux communs, ni argentés, ni dorés, ni platinés (sauf objets d'art, pièces de collection et antiquités)")</f>
        <v xml:space="preserve">   Statuettes et autres objets d'ornement, en métaux communs, ni argentés, ni dorés, ni platinés (sauf objets d'art, pièces de collection et antiquités)</v>
      </c>
      <c r="C8831">
        <v>256141</v>
      </c>
      <c r="D8831">
        <v>829</v>
      </c>
    </row>
    <row r="8832" spans="1:4" x14ac:dyDescent="0.25">
      <c r="A8832" t="str">
        <f>T("   841430")</f>
        <v xml:space="preserve">   841430</v>
      </c>
      <c r="B8832" t="str">
        <f>T("   Compresseurs des types utilisés pour équipements frigorifiques")</f>
        <v xml:space="preserve">   Compresseurs des types utilisés pour équipements frigorifiques</v>
      </c>
      <c r="C8832">
        <v>3742262</v>
      </c>
      <c r="D8832">
        <v>777.46</v>
      </c>
    </row>
    <row r="8833" spans="1:4" x14ac:dyDescent="0.25">
      <c r="A8833" t="str">
        <f>T("   841829")</f>
        <v xml:space="preserve">   841829</v>
      </c>
      <c r="B8833" t="str">
        <f>T("   Réfrigérateurs ménagers à absorption, non-électriques")</f>
        <v xml:space="preserve">   Réfrigérateurs ménagers à absorption, non-électriques</v>
      </c>
      <c r="C8833">
        <v>14044639</v>
      </c>
      <c r="D8833">
        <v>18832</v>
      </c>
    </row>
    <row r="8834" spans="1:4" x14ac:dyDescent="0.25">
      <c r="A8834" t="str">
        <f>T("   841869")</f>
        <v xml:space="preserve">   841869</v>
      </c>
      <c r="B8834" t="str">
        <f>T("   Matériel, machines et appareils pour la production du froid ainsi que pompes à chaleur à absorption (autres que réfrigérateurs et meubles congélateurs-conservateurs)")</f>
        <v xml:space="preserve">   Matériel, machines et appareils pour la production du froid ainsi que pompes à chaleur à absorption (autres que réfrigérateurs et meubles congélateurs-conservateurs)</v>
      </c>
      <c r="C8834">
        <v>453340</v>
      </c>
      <c r="D8834">
        <v>1467</v>
      </c>
    </row>
    <row r="8835" spans="1:4" x14ac:dyDescent="0.25">
      <c r="A8835" t="str">
        <f>T("   851539")</f>
        <v xml:space="preserve">   851539</v>
      </c>
      <c r="B8835" t="str">
        <f>T("   MACHINES ET APPAREILS POUR LE SOUDAGE DES MÉTAUX À L'ARC OU AU JET DE PLASMA, NON-AUTOMATIQUES")</f>
        <v xml:space="preserve">   MACHINES ET APPAREILS POUR LE SOUDAGE DES MÉTAUX À L'ARC OU AU JET DE PLASMA, NON-AUTOMATIQUES</v>
      </c>
      <c r="C8835">
        <v>3676707</v>
      </c>
      <c r="D8835">
        <v>4590</v>
      </c>
    </row>
    <row r="8836" spans="1:4" x14ac:dyDescent="0.25">
      <c r="A8836" t="str">
        <f>T("   851610")</f>
        <v xml:space="preserve">   851610</v>
      </c>
      <c r="B8836" t="str">
        <f>T("   Chauffe-eau et thermoplongeurs électriques")</f>
        <v xml:space="preserve">   Chauffe-eau et thermoplongeurs électriques</v>
      </c>
      <c r="C8836">
        <v>4124328</v>
      </c>
      <c r="D8836">
        <v>3837</v>
      </c>
    </row>
    <row r="8837" spans="1:4" x14ac:dyDescent="0.25">
      <c r="A8837" t="str">
        <f>T("   851629")</f>
        <v xml:space="preserve">   851629</v>
      </c>
      <c r="B8837" t="str">
        <f>T("   Appareils électriques pour le chauffage des locaux, du sol ou pour usages simil. (sauf radiateurs à accumulation)")</f>
        <v xml:space="preserve">   Appareils électriques pour le chauffage des locaux, du sol ou pour usages simil. (sauf radiateurs à accumulation)</v>
      </c>
      <c r="C8837">
        <v>7190</v>
      </c>
      <c r="D8837">
        <v>6</v>
      </c>
    </row>
    <row r="8838" spans="1:4" x14ac:dyDescent="0.25">
      <c r="A8838" t="str">
        <f>T("   851829")</f>
        <v xml:space="preserve">   851829</v>
      </c>
      <c r="B8838" t="str">
        <f>T("   Haut-parleurs sans enceinte")</f>
        <v xml:space="preserve">   Haut-parleurs sans enceinte</v>
      </c>
      <c r="C8838">
        <v>1000000</v>
      </c>
      <c r="D8838">
        <v>2000</v>
      </c>
    </row>
    <row r="8839" spans="1:4" x14ac:dyDescent="0.25">
      <c r="A8839" t="str">
        <f>T("   852812")</f>
        <v xml:space="preserve">   852812</v>
      </c>
      <c r="B8839"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8839">
        <v>364713</v>
      </c>
      <c r="D8839">
        <v>300</v>
      </c>
    </row>
    <row r="8840" spans="1:4" x14ac:dyDescent="0.25">
      <c r="A8840" t="str">
        <f>T("   852813")</f>
        <v xml:space="preserve">   852813</v>
      </c>
      <c r="B8840" t="str">
        <f>T("   Appareils récepteurs pour la télévision en noir et blanc ou en autres monochromes, même incorporant un appareil récepteur de radiodiffusion ou un appareil d'enregistrement ou de reproduction du son ou des images")</f>
        <v xml:space="preserve">   Appareils récepteurs pour la télévision en noir et blanc ou en autres monochromes, même incorporant un appareil récepteur de radiodiffusion ou un appareil d'enregistrement ou de reproduction du son ou des images</v>
      </c>
      <c r="C8840">
        <v>959840</v>
      </c>
      <c r="D8840">
        <v>850</v>
      </c>
    </row>
    <row r="8841" spans="1:4" x14ac:dyDescent="0.25">
      <c r="A8841" t="str">
        <f>T("   870322")</f>
        <v xml:space="preserve">   870322</v>
      </c>
      <c r="B8841" t="s">
        <v>475</v>
      </c>
      <c r="C8841">
        <v>23099805</v>
      </c>
      <c r="D8841">
        <v>7910</v>
      </c>
    </row>
    <row r="8842" spans="1:4" x14ac:dyDescent="0.25">
      <c r="A8842" t="str">
        <f>T("   870324")</f>
        <v xml:space="preserve">   870324</v>
      </c>
      <c r="B8842" t="s">
        <v>477</v>
      </c>
      <c r="C8842">
        <v>80994112</v>
      </c>
      <c r="D8842">
        <v>8000</v>
      </c>
    </row>
    <row r="8843" spans="1:4" x14ac:dyDescent="0.25">
      <c r="A8843" t="str">
        <f>T("   870421")</f>
        <v xml:space="preserve">   870421</v>
      </c>
      <c r="B8843" t="s">
        <v>481</v>
      </c>
      <c r="C8843">
        <v>4221770</v>
      </c>
      <c r="D8843">
        <v>2000</v>
      </c>
    </row>
    <row r="8844" spans="1:4" x14ac:dyDescent="0.25">
      <c r="A8844" t="str">
        <f>T("   870899")</f>
        <v xml:space="preserve">   870899</v>
      </c>
      <c r="B8844"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8844">
        <v>10717240</v>
      </c>
      <c r="D8844">
        <v>475</v>
      </c>
    </row>
    <row r="8845" spans="1:4" x14ac:dyDescent="0.25">
      <c r="A8845" t="str">
        <f>T("   871190")</f>
        <v xml:space="preserve">   871190</v>
      </c>
      <c r="B8845" t="str">
        <f>T("   Side-cars")</f>
        <v xml:space="preserve">   Side-cars</v>
      </c>
      <c r="C8845">
        <v>165000</v>
      </c>
      <c r="D8845">
        <v>150</v>
      </c>
    </row>
    <row r="8846" spans="1:4" x14ac:dyDescent="0.25">
      <c r="A8846" t="str">
        <f>T("   900911")</f>
        <v xml:space="preserve">   900911</v>
      </c>
      <c r="B8846" t="str">
        <f>T("   Appareils de photocopie électrostatiques, fonctionnant par reproduction directe de l'image de l'original sur la copie [procédé direct]")</f>
        <v xml:space="preserve">   Appareils de photocopie électrostatiques, fonctionnant par reproduction directe de l'image de l'original sur la copie [procédé direct]</v>
      </c>
      <c r="C8846">
        <v>731148</v>
      </c>
      <c r="D8846">
        <v>2366</v>
      </c>
    </row>
    <row r="8847" spans="1:4" x14ac:dyDescent="0.25">
      <c r="A8847" t="str">
        <f>T("   920890")</f>
        <v xml:space="preserve">   920890</v>
      </c>
      <c r="B8847" t="str">
        <f>T("   Orchestrions, orgues de Barbarie, oiseaux chanteurs, scies musicales et autres instruments de musique non repris dans le présent chapitre; appeaux, sifflets, cornes d'appel et autres instruments d'appel ou de signalisation à bouche")</f>
        <v xml:space="preserve">   Orchestrions, orgues de Barbarie, oiseaux chanteurs, scies musicales et autres instruments de musique non repris dans le présent chapitre; appeaux, sifflets, cornes d'appel et autres instruments d'appel ou de signalisation à bouche</v>
      </c>
      <c r="C8847">
        <v>229556</v>
      </c>
      <c r="D8847">
        <v>743</v>
      </c>
    </row>
    <row r="8848" spans="1:4" x14ac:dyDescent="0.25">
      <c r="A8848" t="str">
        <f>T("   940320")</f>
        <v xml:space="preserve">   940320</v>
      </c>
      <c r="B8848" t="str">
        <f>T("   Meubles en métal, sauf meubles de bureau, sièges et mobilier pour la médecine, la chirurgie, l'art dentaire ou vétérinaire")</f>
        <v xml:space="preserve">   Meubles en métal, sauf meubles de bureau, sièges et mobilier pour la médecine, la chirurgie, l'art dentaire ou vétérinaire</v>
      </c>
      <c r="C8848">
        <v>5356801</v>
      </c>
      <c r="D8848">
        <v>7820</v>
      </c>
    </row>
    <row r="8849" spans="1:4" x14ac:dyDescent="0.25">
      <c r="A8849" t="str">
        <f>T("   940350")</f>
        <v xml:space="preserve">   940350</v>
      </c>
      <c r="B8849" t="str">
        <f>T("   Meubles pour chambres à coucher, en bois (sauf sièges)")</f>
        <v xml:space="preserve">   Meubles pour chambres à coucher, en bois (sauf sièges)</v>
      </c>
      <c r="C8849">
        <v>900000</v>
      </c>
      <c r="D8849">
        <v>1040</v>
      </c>
    </row>
    <row r="8850" spans="1:4" x14ac:dyDescent="0.25">
      <c r="A8850" t="str">
        <f>T("   940360")</f>
        <v xml:space="preserve">   940360</v>
      </c>
      <c r="B8850" t="str">
        <f>T("   Meubles en bois (autres que pour bureaux, cuisines ou chambres à coucher et autres que sièges)")</f>
        <v xml:space="preserve">   Meubles en bois (autres que pour bureaux, cuisines ou chambres à coucher et autres que sièges)</v>
      </c>
      <c r="C8850">
        <v>21491705</v>
      </c>
      <c r="D8850">
        <v>34996</v>
      </c>
    </row>
    <row r="8851" spans="1:4" x14ac:dyDescent="0.25">
      <c r="A8851" t="str">
        <f>T("   940380")</f>
        <v xml:space="preserve">   940380</v>
      </c>
      <c r="B8851" t="str">
        <f>T("   Meubles en rotin, osier, bambou ou autres matières (sauf métal, bois et matières plastiques)")</f>
        <v xml:space="preserve">   Meubles en rotin, osier, bambou ou autres matières (sauf métal, bois et matières plastiques)</v>
      </c>
      <c r="C8851">
        <v>225651</v>
      </c>
      <c r="D8851">
        <v>1018</v>
      </c>
    </row>
    <row r="8852" spans="1:4" x14ac:dyDescent="0.25">
      <c r="A8852" t="str">
        <f>T("   940429")</f>
        <v xml:space="preserve">   940429</v>
      </c>
      <c r="B8852" t="str">
        <f>T("   Matelas à ressorts ou rembourrés, ou garnis intérieurement de matières autres que le caoutchouc alvéolaire ou les matières plastiques alvéolaires (sauf matelas à eau, matelas pneumatiques et oreillers)")</f>
        <v xml:space="preserve">   Matelas à ressorts ou rembourrés, ou garnis intérieurement de matières autres que le caoutchouc alvéolaire ou les matières plastiques alvéolaires (sauf matelas à eau, matelas pneumatiques et oreillers)</v>
      </c>
      <c r="C8852">
        <v>2083467</v>
      </c>
      <c r="D8852">
        <v>1400</v>
      </c>
    </row>
    <row r="8853" spans="1:4" x14ac:dyDescent="0.25">
      <c r="A8853" t="str">
        <f>T("   950659")</f>
        <v xml:space="preserve">   950659</v>
      </c>
      <c r="B8853" t="str">
        <f>T("   RAQUETTES DE BADMINTON OU SIMIL., MÊME NON CORDÉES (À L'EXCL. DES RAQUETTES DE TENNIS ET DE TENNIS DE TABLE) [01/01/1988-31/12/1994: RAQUETTES DE BADMINTON OU SIMILAIRES, CORDEES OU NON ( SAUF RAQUETTES DE TENNIS ET DE TENNIS DE TABLE)]")</f>
        <v xml:space="preserve">   RAQUETTES DE BADMINTON OU SIMIL., MÊME NON CORDÉES (À L'EXCL. DES RAQUETTES DE TENNIS ET DE TENNIS DE TABLE) [01/01/1988-31/12/1994: RAQUETTES DE BADMINTON OU SIMILAIRES, CORDEES OU NON ( SAUF RAQUETTES DE TENNIS ET DE TENNIS DE TABLE)]</v>
      </c>
      <c r="C8853">
        <v>3176379</v>
      </c>
      <c r="D8853">
        <v>10278</v>
      </c>
    </row>
    <row r="8854" spans="1:4" x14ac:dyDescent="0.25">
      <c r="A8854" t="str">
        <f>T("SC")</f>
        <v>SC</v>
      </c>
      <c r="B8854" t="str">
        <f>T("Seychelles")</f>
        <v>Seychelles</v>
      </c>
    </row>
    <row r="8855" spans="1:4" x14ac:dyDescent="0.25">
      <c r="A8855" t="str">
        <f>T("   ZZ_Total_Produit_SH6")</f>
        <v xml:space="preserve">   ZZ_Total_Produit_SH6</v>
      </c>
      <c r="B8855" t="str">
        <f>T("   ZZ_Total_Produit_SH6")</f>
        <v xml:space="preserve">   ZZ_Total_Produit_SH6</v>
      </c>
      <c r="C8855">
        <v>62005000</v>
      </c>
      <c r="D8855">
        <v>57750</v>
      </c>
    </row>
    <row r="8856" spans="1:4" x14ac:dyDescent="0.25">
      <c r="A8856" t="str">
        <f>T("   050400")</f>
        <v xml:space="preserve">   050400</v>
      </c>
      <c r="B8856" t="str">
        <f>T("   Boyaux, vessies et estomacs d'animaux (autres que ceux de poissons), entiers ou en morceaux, à l'état frais, réfrigéré, congelé, salé ou en saumure, séché ou fumé")</f>
        <v xml:space="preserve">   Boyaux, vessies et estomacs d'animaux (autres que ceux de poissons), entiers ou en morceaux, à l'état frais, réfrigéré, congelé, salé ou en saumure, séché ou fumé</v>
      </c>
      <c r="C8856">
        <v>60000000</v>
      </c>
      <c r="D8856">
        <v>50000</v>
      </c>
    </row>
    <row r="8857" spans="1:4" x14ac:dyDescent="0.25">
      <c r="A8857" t="str">
        <f>T("   870422")</f>
        <v xml:space="preserve">   870422</v>
      </c>
      <c r="B8857" t="s">
        <v>482</v>
      </c>
      <c r="C8857">
        <v>2005000</v>
      </c>
      <c r="D8857">
        <v>7750</v>
      </c>
    </row>
    <row r="8858" spans="1:4" x14ac:dyDescent="0.25">
      <c r="A8858" t="str">
        <f>T("SD")</f>
        <v>SD</v>
      </c>
      <c r="B8858" t="str">
        <f>T("Soudan")</f>
        <v>Soudan</v>
      </c>
    </row>
    <row r="8859" spans="1:4" x14ac:dyDescent="0.25">
      <c r="A8859" t="str">
        <f>T("   ZZ_Total_Produit_SH6")</f>
        <v xml:space="preserve">   ZZ_Total_Produit_SH6</v>
      </c>
      <c r="B8859" t="str">
        <f>T("   ZZ_Total_Produit_SH6")</f>
        <v xml:space="preserve">   ZZ_Total_Produit_SH6</v>
      </c>
      <c r="C8859">
        <v>1301877</v>
      </c>
      <c r="D8859">
        <v>1429</v>
      </c>
    </row>
    <row r="8860" spans="1:4" x14ac:dyDescent="0.25">
      <c r="A8860" t="str">
        <f>T("   870322")</f>
        <v xml:space="preserve">   870322</v>
      </c>
      <c r="B8860" t="s">
        <v>475</v>
      </c>
      <c r="C8860">
        <v>1301877</v>
      </c>
      <c r="D8860">
        <v>1429</v>
      </c>
    </row>
    <row r="8861" spans="1:4" x14ac:dyDescent="0.25">
      <c r="A8861" t="str">
        <f>T("SE")</f>
        <v>SE</v>
      </c>
      <c r="B8861" t="str">
        <f>T("Suède")</f>
        <v>Suède</v>
      </c>
    </row>
    <row r="8862" spans="1:4" x14ac:dyDescent="0.25">
      <c r="A8862" t="str">
        <f>T("   ZZ_Total_Produit_SH6")</f>
        <v xml:space="preserve">   ZZ_Total_Produit_SH6</v>
      </c>
      <c r="B8862" t="str">
        <f>T("   ZZ_Total_Produit_SH6")</f>
        <v xml:space="preserve">   ZZ_Total_Produit_SH6</v>
      </c>
      <c r="C8862">
        <v>7968711822</v>
      </c>
      <c r="D8862">
        <v>5088414.0999999996</v>
      </c>
    </row>
    <row r="8863" spans="1:4" x14ac:dyDescent="0.25">
      <c r="A8863" t="str">
        <f>T("   271019")</f>
        <v xml:space="preserve">   271019</v>
      </c>
      <c r="B8863" t="str">
        <f>T("   Huiles moyennes et préparations, de pétrole ou de minéraux bitumineux, n.d.a.")</f>
        <v xml:space="preserve">   Huiles moyennes et préparations, de pétrole ou de minéraux bitumineux, n.d.a.</v>
      </c>
      <c r="C8863">
        <v>20475412</v>
      </c>
      <c r="D8863">
        <v>68123</v>
      </c>
    </row>
    <row r="8864" spans="1:4" x14ac:dyDescent="0.25">
      <c r="A8864" t="str">
        <f>T("   350699")</f>
        <v xml:space="preserve">   350699</v>
      </c>
      <c r="B8864" t="str">
        <f>T("   Colles et autres adhésifs préparés, n.d.a.")</f>
        <v xml:space="preserve">   Colles et autres adhésifs préparés, n.d.a.</v>
      </c>
      <c r="C8864">
        <v>529937</v>
      </c>
      <c r="D8864">
        <v>12.4</v>
      </c>
    </row>
    <row r="8865" spans="1:4" x14ac:dyDescent="0.25">
      <c r="A8865" t="str">
        <f>T("   392590")</f>
        <v xml:space="preserve">   392590</v>
      </c>
      <c r="B8865" t="s">
        <v>146</v>
      </c>
      <c r="C8865">
        <v>772065</v>
      </c>
      <c r="D8865">
        <v>277</v>
      </c>
    </row>
    <row r="8866" spans="1:4" x14ac:dyDescent="0.25">
      <c r="A8866" t="str">
        <f>T("   400922")</f>
        <v xml:space="preserve">   400922</v>
      </c>
      <c r="B8866" t="str">
        <f>T("   TUBES ET TUYAUX EN CAOUTCHOUC VULCANISÉ NON DURCI, RENFORCÉS SEULEMENT À L'AIDE DE MÉTAL OU AUTREMENT ASSOCIÉS SEULEMENT À DU MÉTAL, AVEC ACCESSOIRES [JOINTS, COUDES, RACCORDS, PAR EXEMPLE]")</f>
        <v xml:space="preserve">   TUBES ET TUYAUX EN CAOUTCHOUC VULCANISÉ NON DURCI, RENFORCÉS SEULEMENT À L'AIDE DE MÉTAL OU AUTREMENT ASSOCIÉS SEULEMENT À DU MÉTAL, AVEC ACCESSOIRES [JOINTS, COUDES, RACCORDS, PAR EXEMPLE]</v>
      </c>
      <c r="C8866">
        <v>94708</v>
      </c>
      <c r="D8866">
        <v>3</v>
      </c>
    </row>
    <row r="8867" spans="1:4" x14ac:dyDescent="0.25">
      <c r="A8867" t="str">
        <f>T("   401039")</f>
        <v xml:space="preserve">   401039</v>
      </c>
      <c r="B8867" t="s">
        <v>154</v>
      </c>
      <c r="C8867">
        <v>183013</v>
      </c>
      <c r="D8867">
        <v>5</v>
      </c>
    </row>
    <row r="8868" spans="1:4" x14ac:dyDescent="0.25">
      <c r="A8868" t="str">
        <f>T("   401693")</f>
        <v xml:space="preserve">   401693</v>
      </c>
      <c r="B8868" t="str">
        <f>T("   Joints en caoutchouc vulcanisé non durci (à l'excl. des articles en caoutchouc alvéolaire)")</f>
        <v xml:space="preserve">   Joints en caoutchouc vulcanisé non durci (à l'excl. des articles en caoutchouc alvéolaire)</v>
      </c>
      <c r="C8868">
        <v>6659286</v>
      </c>
      <c r="D8868">
        <v>694.37</v>
      </c>
    </row>
    <row r="8869" spans="1:4" x14ac:dyDescent="0.25">
      <c r="A8869" t="str">
        <f>T("   441029")</f>
        <v xml:space="preserve">   441029</v>
      </c>
      <c r="B8869" t="str">
        <f>T("   Panneaux dits 'oriented strand board' et panneaux dits 'waferboard', en bois (sauf bruts ou simplement poncés)")</f>
        <v xml:space="preserve">   Panneaux dits 'oriented strand board' et panneaux dits 'waferboard', en bois (sauf bruts ou simplement poncés)</v>
      </c>
      <c r="C8869">
        <v>13338291</v>
      </c>
      <c r="D8869">
        <v>105416</v>
      </c>
    </row>
    <row r="8870" spans="1:4" x14ac:dyDescent="0.25">
      <c r="A8870" t="str">
        <f>T("   441820")</f>
        <v xml:space="preserve">   441820</v>
      </c>
      <c r="B8870" t="str">
        <f>T("   Portes et leurs cadres, chambranles et seuils, en bois")</f>
        <v xml:space="preserve">   Portes et leurs cadres, chambranles et seuils, en bois</v>
      </c>
      <c r="C8870">
        <v>23151009</v>
      </c>
      <c r="D8870">
        <v>37898</v>
      </c>
    </row>
    <row r="8871" spans="1:4" x14ac:dyDescent="0.25">
      <c r="A8871" t="str">
        <f>T("   480256")</f>
        <v xml:space="preserve">   480256</v>
      </c>
      <c r="B8871" t="s">
        <v>190</v>
      </c>
      <c r="C8871">
        <v>303677800</v>
      </c>
      <c r="D8871">
        <v>611756</v>
      </c>
    </row>
    <row r="8872" spans="1:4" x14ac:dyDescent="0.25">
      <c r="A8872" t="str">
        <f>T("   480257")</f>
        <v xml:space="preserve">   480257</v>
      </c>
      <c r="B8872" t="s">
        <v>191</v>
      </c>
      <c r="C8872">
        <v>133798695</v>
      </c>
      <c r="D8872">
        <v>258501</v>
      </c>
    </row>
    <row r="8873" spans="1:4" x14ac:dyDescent="0.25">
      <c r="A8873" t="str">
        <f>T("   480269")</f>
        <v xml:space="preserve">   480269</v>
      </c>
      <c r="B8873" t="s">
        <v>191</v>
      </c>
      <c r="C8873">
        <v>337365110</v>
      </c>
      <c r="D8873">
        <v>679239</v>
      </c>
    </row>
    <row r="8874" spans="1:4" x14ac:dyDescent="0.25">
      <c r="A8874" t="str">
        <f>T("   480421")</f>
        <v xml:space="preserve">   480421</v>
      </c>
      <c r="B8874" t="str">
        <f>T("   PAPIERS KRAFT POUR SACS DE GRANDE CONTENANCE, ÉCRUS, NON-COUCHÉS NI ENDUITS, EN ROULEAUX D'UNE LARGEUR &gt; 36 CM (À L'EXCL. DES ARTICLES DU N° 4802, 4803 OU 4808)")</f>
        <v xml:space="preserve">   PAPIERS KRAFT POUR SACS DE GRANDE CONTENANCE, ÉCRUS, NON-COUCHÉS NI ENDUITS, EN ROULEAUX D'UNE LARGEUR &gt; 36 CM (À L'EXCL. DES ARTICLES DU N° 4802, 4803 OU 4808)</v>
      </c>
      <c r="C8874">
        <v>64456531</v>
      </c>
      <c r="D8874">
        <v>139625</v>
      </c>
    </row>
    <row r="8875" spans="1:4" x14ac:dyDescent="0.25">
      <c r="A8875" t="str">
        <f>T("   480429")</f>
        <v xml:space="preserve">   480429</v>
      </c>
      <c r="B8875" t="str">
        <f>T("   PAPIERS KRAFT POUR SACS DE GRANDE CONTENANCE, NON-COUCHÉS NI ENDUITS, EN ROULEAUX D'UNE LARGEUR &gt; 36 CM (À L'EXCL. DES PAPIERS ÉCRUS AINSI QUE DES ARTICLES DU N° 4802, 4803 OU 4808)")</f>
        <v xml:space="preserve">   PAPIERS KRAFT POUR SACS DE GRANDE CONTENANCE, NON-COUCHÉS NI ENDUITS, EN ROULEAUX D'UNE LARGEUR &gt; 36 CM (À L'EXCL. DES PAPIERS ÉCRUS AINSI QUE DES ARTICLES DU N° 4802, 4803 OU 4808)</v>
      </c>
      <c r="C8875">
        <v>85264128</v>
      </c>
      <c r="D8875">
        <v>186630</v>
      </c>
    </row>
    <row r="8876" spans="1:4" x14ac:dyDescent="0.25">
      <c r="A8876" t="str">
        <f>T("   480439")</f>
        <v xml:space="preserve">   480439</v>
      </c>
      <c r="B8876" t="s">
        <v>196</v>
      </c>
      <c r="C8876">
        <v>5259619</v>
      </c>
      <c r="D8876">
        <v>12238</v>
      </c>
    </row>
    <row r="8877" spans="1:4" x14ac:dyDescent="0.25">
      <c r="A8877" t="str">
        <f>T("   480830")</f>
        <v xml:space="preserve">   480830</v>
      </c>
      <c r="B8877" t="s">
        <v>201</v>
      </c>
      <c r="C8877">
        <v>23755690</v>
      </c>
      <c r="D8877">
        <v>58925</v>
      </c>
    </row>
    <row r="8878" spans="1:4" x14ac:dyDescent="0.25">
      <c r="A8878" t="str">
        <f>T("   481029")</f>
        <v xml:space="preserve">   481029</v>
      </c>
      <c r="B8878" t="s">
        <v>205</v>
      </c>
      <c r="C8878">
        <v>7920822</v>
      </c>
      <c r="D8878">
        <v>20404</v>
      </c>
    </row>
    <row r="8879" spans="1:4" x14ac:dyDescent="0.25">
      <c r="A8879" t="str">
        <f>T("   481099")</f>
        <v xml:space="preserve">   481099</v>
      </c>
      <c r="B8879" t="s">
        <v>208</v>
      </c>
      <c r="C8879">
        <v>7767747</v>
      </c>
      <c r="D8879">
        <v>14742</v>
      </c>
    </row>
    <row r="8880" spans="1:4" x14ac:dyDescent="0.25">
      <c r="A8880" t="str">
        <f>T("   490700")</f>
        <v xml:space="preserve">   490700</v>
      </c>
      <c r="B8880" t="s">
        <v>220</v>
      </c>
      <c r="C8880">
        <v>2063122</v>
      </c>
      <c r="D8880">
        <v>2299</v>
      </c>
    </row>
    <row r="8881" spans="1:4" x14ac:dyDescent="0.25">
      <c r="A8881" t="str">
        <f>T("   620590")</f>
        <v xml:space="preserve">   620590</v>
      </c>
      <c r="B8881"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8881">
        <v>400000</v>
      </c>
      <c r="D8881">
        <v>107</v>
      </c>
    </row>
    <row r="8882" spans="1:4" x14ac:dyDescent="0.25">
      <c r="A8882" t="str">
        <f>T("   620690")</f>
        <v xml:space="preserve">   620690</v>
      </c>
      <c r="B8882" t="s">
        <v>270</v>
      </c>
      <c r="C8882">
        <v>200000</v>
      </c>
      <c r="D8882">
        <v>420</v>
      </c>
    </row>
    <row r="8883" spans="1:4" x14ac:dyDescent="0.25">
      <c r="A8883" t="str">
        <f>T("   681110")</f>
        <v xml:space="preserve">   681110</v>
      </c>
      <c r="B8883" t="str">
        <f>T("   Plaques ondulées en amiante-ciment, cellulose-ciment ou simil.")</f>
        <v xml:space="preserve">   Plaques ondulées en amiante-ciment, cellulose-ciment ou simil.</v>
      </c>
      <c r="C8883">
        <v>68120909</v>
      </c>
      <c r="D8883">
        <v>652500</v>
      </c>
    </row>
    <row r="8884" spans="1:4" x14ac:dyDescent="0.25">
      <c r="A8884" t="str">
        <f>T("   690890")</f>
        <v xml:space="preserve">   690890</v>
      </c>
      <c r="B8884" t="s">
        <v>311</v>
      </c>
      <c r="C8884">
        <v>180275746</v>
      </c>
      <c r="D8884">
        <v>1600434</v>
      </c>
    </row>
    <row r="8885" spans="1:4" x14ac:dyDescent="0.25">
      <c r="A8885" t="str">
        <f>T("   691090")</f>
        <v xml:space="preserve">   691090</v>
      </c>
      <c r="B8885" t="s">
        <v>313</v>
      </c>
      <c r="C8885">
        <v>19345129</v>
      </c>
      <c r="D8885">
        <v>48817</v>
      </c>
    </row>
    <row r="8886" spans="1:4" x14ac:dyDescent="0.25">
      <c r="A8886" t="str">
        <f>T("   700600")</f>
        <v xml:space="preserve">   700600</v>
      </c>
      <c r="B8886" t="s">
        <v>319</v>
      </c>
      <c r="C8886">
        <v>6483209</v>
      </c>
      <c r="D8886">
        <v>52000</v>
      </c>
    </row>
    <row r="8887" spans="1:4" x14ac:dyDescent="0.25">
      <c r="A8887" t="str">
        <f>T("   701010")</f>
        <v xml:space="preserve">   701010</v>
      </c>
      <c r="B8887" t="str">
        <f>T("   AMPOULES EN VERRE")</f>
        <v xml:space="preserve">   AMPOULES EN VERRE</v>
      </c>
      <c r="C8887">
        <v>24225</v>
      </c>
      <c r="D8887">
        <v>1</v>
      </c>
    </row>
    <row r="8888" spans="1:4" x14ac:dyDescent="0.25">
      <c r="A8888" t="str">
        <f>T("   721790")</f>
        <v xml:space="preserve">   721790</v>
      </c>
      <c r="B8888" t="str">
        <f>T("   FILS EN FER OU EN ACIERS NON-ALLIÉS, ENROULÉS, REVÊTUS (À L'EXCL. DU FIL MACHINE AINSI QUE DES FILS REVÊTUS DE MÉTAUX COMMUNS)")</f>
        <v xml:space="preserve">   FILS EN FER OU EN ACIERS NON-ALLIÉS, ENROULÉS, REVÊTUS (À L'EXCL. DU FIL MACHINE AINSI QUE DES FILS REVÊTUS DE MÉTAUX COMMUNS)</v>
      </c>
      <c r="C8888">
        <v>13256924</v>
      </c>
      <c r="D8888">
        <v>52000</v>
      </c>
    </row>
    <row r="8889" spans="1:4" x14ac:dyDescent="0.25">
      <c r="A8889" t="str">
        <f>T("   730630")</f>
        <v xml:space="preserve">   730630</v>
      </c>
      <c r="B8889" t="s">
        <v>345</v>
      </c>
      <c r="C8889">
        <v>26661447</v>
      </c>
      <c r="D8889">
        <v>104410</v>
      </c>
    </row>
    <row r="8890" spans="1:4" x14ac:dyDescent="0.25">
      <c r="A8890" t="str">
        <f>T("   731815")</f>
        <v xml:space="preserve">   731815</v>
      </c>
      <c r="B8890" t="s">
        <v>354</v>
      </c>
      <c r="C8890">
        <v>629881</v>
      </c>
      <c r="D8890">
        <v>10.5</v>
      </c>
    </row>
    <row r="8891" spans="1:4" x14ac:dyDescent="0.25">
      <c r="A8891" t="str">
        <f>T("   731822")</f>
        <v xml:space="preserve">   731822</v>
      </c>
      <c r="B8891" t="str">
        <f>T("   Rondelles en fonte, fer ou acier (sauf rondelles destinées à faire ressort et autres rondelles de blocage)")</f>
        <v xml:space="preserve">   Rondelles en fonte, fer ou acier (sauf rondelles destinées à faire ressort et autres rondelles de blocage)</v>
      </c>
      <c r="C8891">
        <v>555362</v>
      </c>
      <c r="D8891">
        <v>621.37</v>
      </c>
    </row>
    <row r="8892" spans="1:4" x14ac:dyDescent="0.25">
      <c r="A8892" t="str">
        <f>T("   840999")</f>
        <v xml:space="preserve">   840999</v>
      </c>
      <c r="B8892" t="str">
        <f>T("   Parties reconnaissables comme étant exclusivement ou principalement destinées aux moteurs à piston à allumage par compression, n.d.a.")</f>
        <v xml:space="preserve">   Parties reconnaissables comme étant exclusivement ou principalement destinées aux moteurs à piston à allumage par compression, n.d.a.</v>
      </c>
      <c r="C8892">
        <v>1179410</v>
      </c>
      <c r="D8892">
        <v>31</v>
      </c>
    </row>
    <row r="8893" spans="1:4" x14ac:dyDescent="0.25">
      <c r="A8893" t="str">
        <f>T("   841480")</f>
        <v xml:space="preserve">   841480</v>
      </c>
      <c r="B8893" t="s">
        <v>394</v>
      </c>
      <c r="C8893">
        <v>422596</v>
      </c>
      <c r="D8893">
        <v>11</v>
      </c>
    </row>
    <row r="8894" spans="1:4" x14ac:dyDescent="0.25">
      <c r="A8894" t="str">
        <f>T("   841510")</f>
        <v xml:space="preserve">   841510</v>
      </c>
      <c r="B8894" t="s">
        <v>395</v>
      </c>
      <c r="C8894">
        <v>200000</v>
      </c>
      <c r="D8894">
        <v>400</v>
      </c>
    </row>
    <row r="8895" spans="1:4" x14ac:dyDescent="0.25">
      <c r="A8895" t="str">
        <f>T("   842123")</f>
        <v xml:space="preserve">   842123</v>
      </c>
      <c r="B8895" t="str">
        <f>T("   Appareils pour la filtration des huiles minérales et carburants pour les moteurs à allumage par étincelles ou par compression")</f>
        <v xml:space="preserve">   Appareils pour la filtration des huiles minérales et carburants pour les moteurs à allumage par étincelles ou par compression</v>
      </c>
      <c r="C8895">
        <v>1546747</v>
      </c>
      <c r="D8895">
        <v>394</v>
      </c>
    </row>
    <row r="8896" spans="1:4" x14ac:dyDescent="0.25">
      <c r="A8896" t="str">
        <f>T("   843120")</f>
        <v xml:space="preserve">   843120</v>
      </c>
      <c r="B8896" t="str">
        <f>T("   Parties de chariots-gerbeurs et autres chariots de manutention munis d'un dispositif de levage, n.d.a.")</f>
        <v xml:space="preserve">   Parties de chariots-gerbeurs et autres chariots de manutention munis d'un dispositif de levage, n.d.a.</v>
      </c>
      <c r="C8896">
        <v>9574065</v>
      </c>
      <c r="D8896">
        <v>371</v>
      </c>
    </row>
    <row r="8897" spans="1:4" x14ac:dyDescent="0.25">
      <c r="A8897" t="str">
        <f>T("   843139")</f>
        <v xml:space="preserve">   843139</v>
      </c>
      <c r="B8897" t="str">
        <f>T("   Parties de machines et appareils du n° 8428, n.d.a.")</f>
        <v xml:space="preserve">   Parties de machines et appareils du n° 8428, n.d.a.</v>
      </c>
      <c r="C8897">
        <v>9738021</v>
      </c>
      <c r="D8897">
        <v>125</v>
      </c>
    </row>
    <row r="8898" spans="1:4" x14ac:dyDescent="0.25">
      <c r="A8898" t="str">
        <f>T("   843143")</f>
        <v xml:space="preserve">   843143</v>
      </c>
      <c r="B8898" t="str">
        <f>T("   Parties de machines de sondage ou de forage du n° 8430.41 ou 8430.49, n.d.a.")</f>
        <v xml:space="preserve">   Parties de machines de sondage ou de forage du n° 8430.41 ou 8430.49, n.d.a.</v>
      </c>
      <c r="C8898">
        <v>883069</v>
      </c>
      <c r="D8898">
        <v>36</v>
      </c>
    </row>
    <row r="8899" spans="1:4" x14ac:dyDescent="0.25">
      <c r="A8899" t="str">
        <f>T("   843149")</f>
        <v xml:space="preserve">   843149</v>
      </c>
      <c r="B8899" t="str">
        <f>T("   Parties de machines et appareils du n° 8426, 8429 ou 8430, n.d.a.")</f>
        <v xml:space="preserve">   Parties de machines et appareils du n° 8426, 8429 ou 8430, n.d.a.</v>
      </c>
      <c r="C8899">
        <v>10996961</v>
      </c>
      <c r="D8899">
        <v>1275.76</v>
      </c>
    </row>
    <row r="8900" spans="1:4" x14ac:dyDescent="0.25">
      <c r="A8900" t="str">
        <f>T("   847180")</f>
        <v xml:space="preserve">   847180</v>
      </c>
      <c r="B8900" t="str">
        <f>T("   Unités de machines automatiques de traitement de l'information, numériques (à l'excl. des unités de traitement, unités d'entrée ou de sortie et unités de mémoire)")</f>
        <v xml:space="preserve">   Unités de machines automatiques de traitement de l'information, numériques (à l'excl. des unités de traitement, unités d'entrée ou de sortie et unités de mémoire)</v>
      </c>
      <c r="C8900">
        <v>343396</v>
      </c>
      <c r="D8900">
        <v>164</v>
      </c>
    </row>
    <row r="8901" spans="1:4" x14ac:dyDescent="0.25">
      <c r="A8901" t="str">
        <f>T("   847190")</f>
        <v xml:space="preserve">   847190</v>
      </c>
      <c r="B8901"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8901">
        <v>887000</v>
      </c>
      <c r="D8901">
        <v>691</v>
      </c>
    </row>
    <row r="8902" spans="1:4" x14ac:dyDescent="0.25">
      <c r="A8902" t="str">
        <f>T("   848190")</f>
        <v xml:space="preserve">   848190</v>
      </c>
      <c r="B8902" t="str">
        <f>T("   Parties d'articles de robinetterie et organes simil. pour tuyauterie, etc., n.d.a.")</f>
        <v xml:space="preserve">   Parties d'articles de robinetterie et organes simil. pour tuyauterie, etc., n.d.a.</v>
      </c>
      <c r="C8902">
        <v>1172822</v>
      </c>
      <c r="D8902">
        <v>28</v>
      </c>
    </row>
    <row r="8903" spans="1:4" x14ac:dyDescent="0.25">
      <c r="A8903" t="str">
        <f>T("   848280")</f>
        <v xml:space="preserve">   848280</v>
      </c>
      <c r="B8903" t="s">
        <v>442</v>
      </c>
      <c r="C8903">
        <v>2051174</v>
      </c>
      <c r="D8903">
        <v>24</v>
      </c>
    </row>
    <row r="8904" spans="1:4" x14ac:dyDescent="0.25">
      <c r="A8904" t="str">
        <f>T("   848310")</f>
        <v xml:space="preserve">   848310</v>
      </c>
      <c r="B8904" t="str">
        <f>T("   Arbres de transmission pour machines, y.c. -les arbres à cames et les vilebrequins- et manivelles")</f>
        <v xml:space="preserve">   Arbres de transmission pour machines, y.c. -les arbres à cames et les vilebrequins- et manivelles</v>
      </c>
      <c r="C8904">
        <v>1524576</v>
      </c>
      <c r="D8904">
        <v>20</v>
      </c>
    </row>
    <row r="8905" spans="1:4" x14ac:dyDescent="0.25">
      <c r="A8905" t="str">
        <f>T("   848340")</f>
        <v xml:space="preserve">   848340</v>
      </c>
      <c r="B8905" t="s">
        <v>443</v>
      </c>
      <c r="C8905">
        <v>207267</v>
      </c>
      <c r="D8905">
        <v>1</v>
      </c>
    </row>
    <row r="8906" spans="1:4" x14ac:dyDescent="0.25">
      <c r="A8906" t="str">
        <f>T("   848490")</f>
        <v xml:space="preserve">   848490</v>
      </c>
      <c r="B8906" t="str">
        <f>T("   Jeux ou assortiments de joints de composition différente présentés en pochettes, enveloppes ou emballages analogues")</f>
        <v xml:space="preserve">   Jeux ou assortiments de joints de composition différente présentés en pochettes, enveloppes ou emballages analogues</v>
      </c>
      <c r="C8906">
        <v>1115690</v>
      </c>
      <c r="D8906">
        <v>30</v>
      </c>
    </row>
    <row r="8907" spans="1:4" x14ac:dyDescent="0.25">
      <c r="A8907" t="str">
        <f>T("   850680")</f>
        <v xml:space="preserve">   850680</v>
      </c>
      <c r="B8907" t="str">
        <f>T("   Piles et batteries de piles électriques (sauf hors d'usage et autres que piles et batteries à l'oxyde d'argent, de mercure, au bioxyde de manganèse, au lithium et à l'air-zinc)")</f>
        <v xml:space="preserve">   Piles et batteries de piles électriques (sauf hors d'usage et autres que piles et batteries à l'oxyde d'argent, de mercure, au bioxyde de manganèse, au lithium et à l'air-zinc)</v>
      </c>
      <c r="C8907">
        <v>923228</v>
      </c>
      <c r="D8907">
        <v>54</v>
      </c>
    </row>
    <row r="8908" spans="1:4" x14ac:dyDescent="0.25">
      <c r="A8908" t="str">
        <f>T("   851711")</f>
        <v xml:space="preserve">   851711</v>
      </c>
      <c r="B8908" t="str">
        <f>T("   Postes téléphoniques d'usagers pour la téléphonie par fil à combinés sans fil")</f>
        <v xml:space="preserve">   Postes téléphoniques d'usagers pour la téléphonie par fil à combinés sans fil</v>
      </c>
      <c r="C8908">
        <v>5601536265</v>
      </c>
      <c r="D8908">
        <v>273277</v>
      </c>
    </row>
    <row r="8909" spans="1:4" x14ac:dyDescent="0.25">
      <c r="A8909" t="str">
        <f>T("   851780")</f>
        <v xml:space="preserve">   851780</v>
      </c>
      <c r="B8909" t="s">
        <v>453</v>
      </c>
      <c r="C8909">
        <v>906490171</v>
      </c>
      <c r="D8909">
        <v>49709.2</v>
      </c>
    </row>
    <row r="8910" spans="1:4" x14ac:dyDescent="0.25">
      <c r="A8910" t="str">
        <f>T("   852431")</f>
        <v xml:space="preserve">   852431</v>
      </c>
      <c r="B8910" t="str">
        <f>T("   Disques enregistrés pour systèmes de lecture optique par faisceau laser, pour la reproduction des phénomènes autres que le son ou l'image")</f>
        <v xml:space="preserve">   Disques enregistrés pour systèmes de lecture optique par faisceau laser, pour la reproduction des phénomènes autres que le son ou l'image</v>
      </c>
      <c r="C8910">
        <v>30678400</v>
      </c>
      <c r="D8910">
        <v>135</v>
      </c>
    </row>
    <row r="8911" spans="1:4" x14ac:dyDescent="0.25">
      <c r="A8911" t="str">
        <f>T("   853400")</f>
        <v xml:space="preserve">   853400</v>
      </c>
      <c r="B8911" t="str">
        <f>T("   Circuits imprimés")</f>
        <v xml:space="preserve">   Circuits imprimés</v>
      </c>
      <c r="C8911">
        <v>239675</v>
      </c>
      <c r="D8911">
        <v>3.5</v>
      </c>
    </row>
    <row r="8912" spans="1:4" x14ac:dyDescent="0.25">
      <c r="A8912" t="str">
        <f>T("   853610")</f>
        <v xml:space="preserve">   853610</v>
      </c>
      <c r="B8912" t="str">
        <f>T("   Fusibles et coupe-circuit à fusibles, pour une tension &lt;= 1.000 V")</f>
        <v xml:space="preserve">   Fusibles et coupe-circuit à fusibles, pour une tension &lt;= 1.000 V</v>
      </c>
      <c r="C8912">
        <v>59751</v>
      </c>
      <c r="D8912">
        <v>2</v>
      </c>
    </row>
    <row r="8913" spans="1:4" x14ac:dyDescent="0.25">
      <c r="A8913" t="str">
        <f>T("   853931")</f>
        <v xml:space="preserve">   853931</v>
      </c>
      <c r="B8913" t="str">
        <f>T("   Lampes et tubes à décharge, fluorescents, à cathode chaude")</f>
        <v xml:space="preserve">   Lampes et tubes à décharge, fluorescents, à cathode chaude</v>
      </c>
      <c r="C8913">
        <v>3388664</v>
      </c>
      <c r="D8913">
        <v>17697</v>
      </c>
    </row>
    <row r="8914" spans="1:4" x14ac:dyDescent="0.25">
      <c r="A8914" t="str">
        <f>T("   854420")</f>
        <v xml:space="preserve">   854420</v>
      </c>
      <c r="B8914" t="str">
        <f>T("   Câbles coaxiaux et autres conducteurs électriques coaxiaux, isolés")</f>
        <v xml:space="preserve">   Câbles coaxiaux et autres conducteurs électriques coaxiaux, isolés</v>
      </c>
      <c r="C8914">
        <v>220980</v>
      </c>
      <c r="D8914">
        <v>12</v>
      </c>
    </row>
    <row r="8915" spans="1:4" x14ac:dyDescent="0.25">
      <c r="A8915" t="str">
        <f>T("   854460")</f>
        <v xml:space="preserve">   854460</v>
      </c>
      <c r="B8915" t="str">
        <f>T("   Conducteurs électriques, pour tension &gt; 1.000 V, n.d.a.")</f>
        <v xml:space="preserve">   Conducteurs électriques, pour tension &gt; 1.000 V, n.d.a.</v>
      </c>
      <c r="C8915">
        <v>7666368</v>
      </c>
      <c r="D8915">
        <v>194</v>
      </c>
    </row>
    <row r="8916" spans="1:4" x14ac:dyDescent="0.25">
      <c r="A8916" t="str">
        <f>T("   870120")</f>
        <v xml:space="preserve">   870120</v>
      </c>
      <c r="B8916" t="str">
        <f>T("   Tracteurs routiers pour semi-remorques")</f>
        <v xml:space="preserve">   Tracteurs routiers pour semi-remorques</v>
      </c>
      <c r="C8916">
        <v>4000000</v>
      </c>
      <c r="D8916">
        <v>15895</v>
      </c>
    </row>
    <row r="8917" spans="1:4" x14ac:dyDescent="0.25">
      <c r="A8917" t="str">
        <f>T("   870322")</f>
        <v xml:space="preserve">   870322</v>
      </c>
      <c r="B8917" t="s">
        <v>475</v>
      </c>
      <c r="C8917">
        <v>6000000</v>
      </c>
      <c r="D8917">
        <v>6420</v>
      </c>
    </row>
    <row r="8918" spans="1:4" x14ac:dyDescent="0.25">
      <c r="A8918" t="str">
        <f>T("   870323")</f>
        <v xml:space="preserve">   870323</v>
      </c>
      <c r="B8918" t="s">
        <v>476</v>
      </c>
      <c r="C8918">
        <v>1200000</v>
      </c>
      <c r="D8918">
        <v>1010</v>
      </c>
    </row>
    <row r="8919" spans="1:4" x14ac:dyDescent="0.25">
      <c r="A8919" t="str">
        <f>T("   870829")</f>
        <v xml:space="preserve">   870829</v>
      </c>
      <c r="B8919" t="s">
        <v>488</v>
      </c>
      <c r="C8919">
        <v>1402265</v>
      </c>
      <c r="D8919">
        <v>26</v>
      </c>
    </row>
    <row r="8920" spans="1:4" x14ac:dyDescent="0.25">
      <c r="A8920" t="str">
        <f>T("   871640")</f>
        <v xml:space="preserve">   871640</v>
      </c>
      <c r="B8920" t="str">
        <f>T("   Remorques ne circulant pas sur rails (à l'excl. des remorques pour le transport de marchandises et remorques pour l'habitation ou le camping, du type caravane)")</f>
        <v xml:space="preserve">   Remorques ne circulant pas sur rails (à l'excl. des remorques pour le transport de marchandises et remorques pour l'habitation ou le camping, du type caravane)</v>
      </c>
      <c r="C8920">
        <v>2000000</v>
      </c>
      <c r="D8920">
        <v>7310</v>
      </c>
    </row>
    <row r="8921" spans="1:4" x14ac:dyDescent="0.25">
      <c r="A8921" t="str">
        <f>T("   901890")</f>
        <v xml:space="preserve">   901890</v>
      </c>
      <c r="B8921" t="str">
        <f>T("   Instruments et appareils pour la médecine, la chirurgie ou l'art vétérinaire, n.d.a.")</f>
        <v xml:space="preserve">   Instruments et appareils pour la médecine, la chirurgie ou l'art vétérinaire, n.d.a.</v>
      </c>
      <c r="C8921">
        <v>3506761</v>
      </c>
      <c r="D8921">
        <v>4749</v>
      </c>
    </row>
    <row r="8922" spans="1:4" x14ac:dyDescent="0.25">
      <c r="A8922" t="str">
        <f>T("   902690")</f>
        <v xml:space="preserve">   902690</v>
      </c>
      <c r="B8922" t="str">
        <f>T("   Parties et accessoires des instruments et appareils pour la mesure ou le contrôle du débit, du niveau, de la pression ou d'autres caractéristiques variables des liquides ou des gaz, n.d.a.")</f>
        <v xml:space="preserve">   Parties et accessoires des instruments et appareils pour la mesure ou le contrôle du débit, du niveau, de la pression ou d'autres caractéristiques variables des liquides ou des gaz, n.d.a.</v>
      </c>
      <c r="C8922">
        <v>428926</v>
      </c>
      <c r="D8922">
        <v>12</v>
      </c>
    </row>
    <row r="8923" spans="1:4" x14ac:dyDescent="0.25">
      <c r="A8923" t="str">
        <f>T("   940120")</f>
        <v xml:space="preserve">   940120</v>
      </c>
      <c r="B8923" t="str">
        <f>T("   Sièges pour véhicules automobiles")</f>
        <v xml:space="preserve">   Sièges pour véhicules automobiles</v>
      </c>
      <c r="C8923">
        <v>4641757</v>
      </c>
      <c r="D8923">
        <v>198</v>
      </c>
    </row>
    <row r="8924" spans="1:4" x14ac:dyDescent="0.25">
      <c r="A8924" t="str">
        <f>T("SG")</f>
        <v>SG</v>
      </c>
      <c r="B8924" t="str">
        <f>T("Singapour")</f>
        <v>Singapour</v>
      </c>
    </row>
    <row r="8925" spans="1:4" x14ac:dyDescent="0.25">
      <c r="A8925" t="str">
        <f>T("   ZZ_Total_Produit_SH6")</f>
        <v xml:space="preserve">   ZZ_Total_Produit_SH6</v>
      </c>
      <c r="B8925" t="str">
        <f>T("   ZZ_Total_Produit_SH6")</f>
        <v xml:space="preserve">   ZZ_Total_Produit_SH6</v>
      </c>
      <c r="C8925">
        <v>19963001471.893002</v>
      </c>
      <c r="D8925">
        <v>50853840.82</v>
      </c>
    </row>
    <row r="8926" spans="1:4" x14ac:dyDescent="0.25">
      <c r="A8926" t="str">
        <f>T("   040210")</f>
        <v xml:space="preserve">   040210</v>
      </c>
      <c r="B8926" t="str">
        <f>T("   Lait et crème de lait, en poudre, en granulés ou sous d'autres formes solides, d'une teneur en poids de matières grasses &lt;= 1,5%")</f>
        <v xml:space="preserve">   Lait et crème de lait, en poudre, en granulés ou sous d'autres formes solides, d'une teneur en poids de matières grasses &lt;= 1,5%</v>
      </c>
      <c r="C8926">
        <v>30515422</v>
      </c>
      <c r="D8926">
        <v>85912</v>
      </c>
    </row>
    <row r="8927" spans="1:4" x14ac:dyDescent="0.25">
      <c r="A8927" t="str">
        <f>T("   040291")</f>
        <v xml:space="preserve">   040291</v>
      </c>
      <c r="B8927" t="str">
        <f>T("   Lait et crème de lait, concentrés, sans addition de sucre ou d'autres édulcorants (à l'excl. des laits et crèmes de lait en poudre, en granulés ou sous d'autres formes solides)")</f>
        <v xml:space="preserve">   Lait et crème de lait, concentrés, sans addition de sucre ou d'autres édulcorants (à l'excl. des laits et crèmes de lait en poudre, en granulés ou sous d'autres formes solides)</v>
      </c>
      <c r="C8927">
        <v>29504425</v>
      </c>
      <c r="D8927">
        <v>48000</v>
      </c>
    </row>
    <row r="8928" spans="1:4" x14ac:dyDescent="0.25">
      <c r="A8928" t="str">
        <f>T("   040299")</f>
        <v xml:space="preserve">   040299</v>
      </c>
      <c r="B8928" t="str">
        <f>T("   Lait et crème de lait, concentrés, additionnés de sucre ou d'autres édulcorants (à l'excl. des laits et crèmes de lait en poudre, en granulés ou sous d'autres formes solides)")</f>
        <v xml:space="preserve">   Lait et crème de lait, concentrés, additionnés de sucre ou d'autres édulcorants (à l'excl. des laits et crèmes de lait en poudre, en granulés ou sous d'autres formes solides)</v>
      </c>
      <c r="C8928">
        <v>67420795</v>
      </c>
      <c r="D8928">
        <v>106800</v>
      </c>
    </row>
    <row r="8929" spans="1:4" x14ac:dyDescent="0.25">
      <c r="A8929" t="str">
        <f>T("   040510")</f>
        <v xml:space="preserve">   040510</v>
      </c>
      <c r="B8929" t="str">
        <f>T("   Beurre (sauf beurre déshydraté et ghee)")</f>
        <v xml:space="preserve">   Beurre (sauf beurre déshydraté et ghee)</v>
      </c>
      <c r="C8929">
        <v>13870472</v>
      </c>
      <c r="D8929">
        <v>20644</v>
      </c>
    </row>
    <row r="8930" spans="1:4" x14ac:dyDescent="0.25">
      <c r="A8930" t="str">
        <f>T("   100630")</f>
        <v xml:space="preserve">   100630</v>
      </c>
      <c r="B8930" t="str">
        <f>T("   Riz semi-blanchi ou blanchi, même poli ou glacé")</f>
        <v xml:space="preserve">   Riz semi-blanchi ou blanchi, même poli ou glacé</v>
      </c>
      <c r="C8930">
        <v>4656139465.0509996</v>
      </c>
      <c r="D8930">
        <v>16963821</v>
      </c>
    </row>
    <row r="8931" spans="1:4" x14ac:dyDescent="0.25">
      <c r="A8931" t="str">
        <f>T("   150790")</f>
        <v xml:space="preserve">   150790</v>
      </c>
      <c r="B8931" t="str">
        <f>T("   Huile de soja et ses fractions, même raffinées, mais non chimiquement modifiées (à l'excl. de l'huile de soja brute)")</f>
        <v xml:space="preserve">   Huile de soja et ses fractions, même raffinées, mais non chimiquement modifiées (à l'excl. de l'huile de soja brute)</v>
      </c>
      <c r="C8931">
        <v>55822750</v>
      </c>
      <c r="D8931">
        <v>223291</v>
      </c>
    </row>
    <row r="8932" spans="1:4" x14ac:dyDescent="0.25">
      <c r="A8932" t="str">
        <f>T("   150810")</f>
        <v xml:space="preserve">   150810</v>
      </c>
      <c r="B8932" t="str">
        <f>T("   Huile d'arachide, brute")</f>
        <v xml:space="preserve">   Huile d'arachide, brute</v>
      </c>
      <c r="C8932">
        <v>121000000</v>
      </c>
      <c r="D8932">
        <v>484000</v>
      </c>
    </row>
    <row r="8933" spans="1:4" x14ac:dyDescent="0.25">
      <c r="A8933" t="str">
        <f>T("   150890")</f>
        <v xml:space="preserve">   150890</v>
      </c>
      <c r="B8933" t="str">
        <f>T("   Huile d'arachide et ses fractions, même raffinées, mais non chimiquement modifiées (à l'excl. de l'huile d'arachide brute)")</f>
        <v xml:space="preserve">   Huile d'arachide et ses fractions, même raffinées, mais non chimiquement modifiées (à l'excl. de l'huile d'arachide brute)</v>
      </c>
      <c r="C8933">
        <v>450845669.78200001</v>
      </c>
      <c r="D8933">
        <v>1150920</v>
      </c>
    </row>
    <row r="8934" spans="1:4" x14ac:dyDescent="0.25">
      <c r="A8934" t="str">
        <f>T("   151190")</f>
        <v xml:space="preserve">   151190</v>
      </c>
      <c r="B8934" t="str">
        <f>T("   Huile de palme et ses fractions, même raffinées, mais non chimiquement modifiées (à l'excl. de l'huile de palme brute)")</f>
        <v xml:space="preserve">   Huile de palme et ses fractions, même raffinées, mais non chimiquement modifiées (à l'excl. de l'huile de palme brute)</v>
      </c>
      <c r="C8934">
        <v>5472754463.375</v>
      </c>
      <c r="D8934">
        <v>14485448</v>
      </c>
    </row>
    <row r="8935" spans="1:4" x14ac:dyDescent="0.25">
      <c r="A8935" t="str">
        <f>T("   151590")</f>
        <v xml:space="preserve">   151590</v>
      </c>
      <c r="B8935" t="s">
        <v>34</v>
      </c>
      <c r="C8935">
        <v>11101500</v>
      </c>
      <c r="D8935">
        <v>44406</v>
      </c>
    </row>
    <row r="8936" spans="1:4" x14ac:dyDescent="0.25">
      <c r="A8936" t="str">
        <f>T("   151620")</f>
        <v xml:space="preserve">   151620</v>
      </c>
      <c r="B8936" t="str">
        <f>T("   Graisses et huiles végétales et leurs fractions, partiellement ou totalement hydrogénées, interestérifiées, réestérifiées ou élaïdinisées, même raffinées, mais non autrement préparées")</f>
        <v xml:space="preserve">   Graisses et huiles végétales et leurs fractions, partiellement ou totalement hydrogénées, interestérifiées, réestérifiées ou élaïdinisées, même raffinées, mais non autrement préparées</v>
      </c>
      <c r="C8936">
        <v>999058576</v>
      </c>
      <c r="D8936">
        <v>3978332</v>
      </c>
    </row>
    <row r="8937" spans="1:4" x14ac:dyDescent="0.25">
      <c r="A8937" t="str">
        <f>T("   151710")</f>
        <v xml:space="preserve">   151710</v>
      </c>
      <c r="B8937" t="str">
        <f>T("   Margarine (à l'excl. de la margarine liquide)")</f>
        <v xml:space="preserve">   Margarine (à l'excl. de la margarine liquide)</v>
      </c>
      <c r="C8937">
        <v>27682453</v>
      </c>
      <c r="D8937">
        <v>78621</v>
      </c>
    </row>
    <row r="8938" spans="1:4" x14ac:dyDescent="0.25">
      <c r="A8938" t="str">
        <f>T("   160413")</f>
        <v xml:space="preserve">   160413</v>
      </c>
      <c r="B8938" t="str">
        <f>T("   Préparations et conserves de sardines, sardinelles, sprats ou esprots, entiers ou en morceaux (à l'excl. des préparations et conserves de poissons hachés)")</f>
        <v xml:space="preserve">   Préparations et conserves de sardines, sardinelles, sprats ou esprots, entiers ou en morceaux (à l'excl. des préparations et conserves de poissons hachés)</v>
      </c>
      <c r="C8938">
        <v>13100000</v>
      </c>
      <c r="D8938">
        <v>48800</v>
      </c>
    </row>
    <row r="8939" spans="1:4" x14ac:dyDescent="0.25">
      <c r="A8939" t="str">
        <f>T("   170191")</f>
        <v xml:space="preserve">   170191</v>
      </c>
      <c r="B8939" t="str">
        <f>T("   Sucres de canne ou de betterave, à l'état solide, additionnés d'aromatisants ou de colorants")</f>
        <v xml:space="preserve">   Sucres de canne ou de betterave, à l'état solide, additionnés d'aromatisants ou de colorants</v>
      </c>
      <c r="C8939">
        <v>123279941.71600001</v>
      </c>
      <c r="D8939">
        <v>751600</v>
      </c>
    </row>
    <row r="8940" spans="1:4" x14ac:dyDescent="0.25">
      <c r="A8940" t="str">
        <f>T("   170199")</f>
        <v xml:space="preserve">   170199</v>
      </c>
      <c r="B8940" t="str">
        <f>T("   Sucres de canne ou de betterave et saccharose chimiquement pur, à l'état solide (à l'excl. des sucres bruts et des sucres de canne ou de betterave additionnés d'aromatisants ou de colorants)")</f>
        <v xml:space="preserve">   Sucres de canne ou de betterave et saccharose chimiquement pur, à l'état solide (à l'excl. des sucres bruts et des sucres de canne ou de betterave additionnés d'aromatisants ou de colorants)</v>
      </c>
      <c r="C8940">
        <v>173147198.96900001</v>
      </c>
      <c r="D8940">
        <v>886600</v>
      </c>
    </row>
    <row r="8941" spans="1:4" x14ac:dyDescent="0.25">
      <c r="A8941" t="str">
        <f>T("   170410")</f>
        <v xml:space="preserve">   170410</v>
      </c>
      <c r="B8941" t="str">
        <f>T("   Gommes à mâcher [chewing-gum], même enrobées de sucre")</f>
        <v xml:space="preserve">   Gommes à mâcher [chewing-gum], même enrobées de sucre</v>
      </c>
      <c r="C8941">
        <v>3360190</v>
      </c>
      <c r="D8941">
        <v>31500</v>
      </c>
    </row>
    <row r="8942" spans="1:4" x14ac:dyDescent="0.25">
      <c r="A8942" t="str">
        <f>T("   170490")</f>
        <v xml:space="preserve">   170490</v>
      </c>
      <c r="B8942" t="str">
        <f>T("   Sucreries sans cacao, y.c. le chocolat blanc (à l'excl. des gommes à mâcher)")</f>
        <v xml:space="preserve">   Sucreries sans cacao, y.c. le chocolat blanc (à l'excl. des gommes à mâcher)</v>
      </c>
      <c r="C8942">
        <v>17923026</v>
      </c>
      <c r="D8942">
        <v>93359</v>
      </c>
    </row>
    <row r="8943" spans="1:4" x14ac:dyDescent="0.25">
      <c r="A8943" t="str">
        <f>T("   190190")</f>
        <v xml:space="preserve">   190190</v>
      </c>
      <c r="B8943" t="s">
        <v>48</v>
      </c>
      <c r="C8943">
        <v>234860961</v>
      </c>
      <c r="D8943">
        <v>582400</v>
      </c>
    </row>
    <row r="8944" spans="1:4" x14ac:dyDescent="0.25">
      <c r="A8944" t="str">
        <f>T("   190219")</f>
        <v xml:space="preserve">   190219</v>
      </c>
      <c r="B8944" t="str">
        <f>T("   PÂTES ALIMENTAIRES NON-CUITES NI FARCIES NI AUTREMENT PRÉPARÉES, NE CONTENANT PAS D'OEUFS")</f>
        <v xml:space="preserve">   PÂTES ALIMENTAIRES NON-CUITES NI FARCIES NI AUTREMENT PRÉPARÉES, NE CONTENANT PAS D'OEUFS</v>
      </c>
      <c r="C8944">
        <v>50834684</v>
      </c>
      <c r="D8944">
        <v>269010</v>
      </c>
    </row>
    <row r="8945" spans="1:4" x14ac:dyDescent="0.25">
      <c r="A8945" t="str">
        <f>T("   190230")</f>
        <v xml:space="preserve">   190230</v>
      </c>
      <c r="B8945" t="str">
        <f>T("   Pâtes alimentaires, cuites ou autrement préparées (à l'excl. des pâtes alimentaires farcies)")</f>
        <v xml:space="preserve">   Pâtes alimentaires, cuites ou autrement préparées (à l'excl. des pâtes alimentaires farcies)</v>
      </c>
      <c r="C8945">
        <v>20109366</v>
      </c>
      <c r="D8945">
        <v>81106</v>
      </c>
    </row>
    <row r="8946" spans="1:4" x14ac:dyDescent="0.25">
      <c r="A8946" t="str">
        <f>T("   190410")</f>
        <v xml:space="preserve">   190410</v>
      </c>
      <c r="B8946" t="str">
        <f>T("   PRODUITS À BASE DE CÉRÉALES OBTENUS PAR SOUFFLAGE OU GRILLAGE [CORN FLAKES, P.EX.]")</f>
        <v xml:space="preserve">   PRODUITS À BASE DE CÉRÉALES OBTENUS PAR SOUFFLAGE OU GRILLAGE [CORN FLAKES, P.EX.]</v>
      </c>
      <c r="C8946">
        <v>2219391</v>
      </c>
      <c r="D8946">
        <v>2633</v>
      </c>
    </row>
    <row r="8947" spans="1:4" x14ac:dyDescent="0.25">
      <c r="A8947" t="str">
        <f>T("   190531")</f>
        <v xml:space="preserve">   190531</v>
      </c>
      <c r="B8947" t="str">
        <f>T("   Biscuits additionnés d'édulcorants")</f>
        <v xml:space="preserve">   Biscuits additionnés d'édulcorants</v>
      </c>
      <c r="C8947">
        <v>2900067</v>
      </c>
      <c r="D8947">
        <v>3440</v>
      </c>
    </row>
    <row r="8948" spans="1:4" x14ac:dyDescent="0.25">
      <c r="A8948" t="str">
        <f>T("   190590")</f>
        <v xml:space="preserve">   190590</v>
      </c>
      <c r="B8948" t="s">
        <v>50</v>
      </c>
      <c r="C8948">
        <v>17149878</v>
      </c>
      <c r="D8948">
        <v>30505</v>
      </c>
    </row>
    <row r="8949" spans="1:4" x14ac:dyDescent="0.25">
      <c r="A8949" t="str">
        <f>T("   200290")</f>
        <v xml:space="preserve">   200290</v>
      </c>
      <c r="B8949" t="str">
        <f>T("   Tomates, préparées ou conservées autrement qu'au vinaigre ou à l'acide acétique (à l'excl. des tomates entières ou en morceaux)")</f>
        <v xml:space="preserve">   Tomates, préparées ou conservées autrement qu'au vinaigre ou à l'acide acétique (à l'excl. des tomates entières ou en morceaux)</v>
      </c>
      <c r="C8949">
        <v>38899084</v>
      </c>
      <c r="D8949">
        <v>138344</v>
      </c>
    </row>
    <row r="8950" spans="1:4" x14ac:dyDescent="0.25">
      <c r="A8950" t="str">
        <f>T("   200540")</f>
        <v xml:space="preserve">   200540</v>
      </c>
      <c r="B8950" t="str">
        <f>T("   Pois [Pisum sativum], préparés ou conservés autrement qu'au vinaigre ou à l'acide acétique, non congelés")</f>
        <v xml:space="preserve">   Pois [Pisum sativum], préparés ou conservés autrement qu'au vinaigre ou à l'acide acétique, non congelés</v>
      </c>
      <c r="C8950">
        <v>4590554</v>
      </c>
      <c r="D8950">
        <v>22416</v>
      </c>
    </row>
    <row r="8951" spans="1:4" x14ac:dyDescent="0.25">
      <c r="A8951" t="str">
        <f>T("   200990")</f>
        <v xml:space="preserve">   200990</v>
      </c>
      <c r="B8951" t="str">
        <f>T("   MÉLANGES DE JUS DE FRUITS - Y.C. LES MOÛTS DE RAISIN - ET DE JUS DE LÉGUMES, NON-FERMENTÉS, SANS ADDITION D'ALCOOL, AVEC OU SANS ADDITION DE SUCRE OU D'AUTRES ÉDULCORANTS")</f>
        <v xml:space="preserve">   MÉLANGES DE JUS DE FRUITS - Y.C. LES MOÛTS DE RAISIN - ET DE JUS DE LÉGUMES, NON-FERMENTÉS, SANS ADDITION D'ALCOOL, AVEC OU SANS ADDITION DE SUCRE OU D'AUTRES ÉDULCORANTS</v>
      </c>
      <c r="C8951">
        <v>4901834</v>
      </c>
      <c r="D8951">
        <v>20635</v>
      </c>
    </row>
    <row r="8952" spans="1:4" x14ac:dyDescent="0.25">
      <c r="A8952" t="str">
        <f>T("   210320")</f>
        <v xml:space="preserve">   210320</v>
      </c>
      <c r="B8952" t="str">
        <f>T("   Tomato ketchup et autres sauces tomates")</f>
        <v xml:space="preserve">   Tomato ketchup et autres sauces tomates</v>
      </c>
      <c r="C8952">
        <v>12960000</v>
      </c>
      <c r="D8952">
        <v>42940</v>
      </c>
    </row>
    <row r="8953" spans="1:4" x14ac:dyDescent="0.25">
      <c r="A8953" t="str">
        <f>T("   210390")</f>
        <v xml:space="preserve">   210390</v>
      </c>
      <c r="B8953" t="str">
        <f>T("   Préparations pour sauces et sauces préparées; condiments et assaisonnements, composés (à l'excl. de la sauce de soja, du tomato ketchup et autres sauces tomates, de la farine de moutarde et de la moutarde préparée)")</f>
        <v xml:space="preserve">   Préparations pour sauces et sauces préparées; condiments et assaisonnements, composés (à l'excl. de la sauce de soja, du tomato ketchup et autres sauces tomates, de la farine de moutarde et de la moutarde préparée)</v>
      </c>
      <c r="C8953">
        <v>9713000</v>
      </c>
      <c r="D8953">
        <v>20230</v>
      </c>
    </row>
    <row r="8954" spans="1:4" x14ac:dyDescent="0.25">
      <c r="A8954" t="str">
        <f>T("   220600")</f>
        <v xml:space="preserve">   220600</v>
      </c>
      <c r="B8954" t="s">
        <v>57</v>
      </c>
      <c r="C8954">
        <v>5754845</v>
      </c>
      <c r="D8954">
        <v>19254</v>
      </c>
    </row>
    <row r="8955" spans="1:4" x14ac:dyDescent="0.25">
      <c r="A8955" t="str">
        <f>T("   220830")</f>
        <v xml:space="preserve">   220830</v>
      </c>
      <c r="B8955" t="str">
        <f>T("   Whiskies")</f>
        <v xml:space="preserve">   Whiskies</v>
      </c>
      <c r="C8955">
        <v>4815420</v>
      </c>
      <c r="D8955">
        <v>21519</v>
      </c>
    </row>
    <row r="8956" spans="1:4" x14ac:dyDescent="0.25">
      <c r="A8956" t="str">
        <f>T("   271019")</f>
        <v xml:space="preserve">   271019</v>
      </c>
      <c r="B8956" t="str">
        <f>T("   Huiles moyennes et préparations, de pétrole ou de minéraux bitumineux, n.d.a.")</f>
        <v xml:space="preserve">   Huiles moyennes et préparations, de pétrole ou de minéraux bitumineux, n.d.a.</v>
      </c>
      <c r="C8956">
        <v>16802637</v>
      </c>
      <c r="D8956">
        <v>28968</v>
      </c>
    </row>
    <row r="8957" spans="1:4" x14ac:dyDescent="0.25">
      <c r="A8957" t="str">
        <f>T("   321519")</f>
        <v xml:space="preserve">   321519</v>
      </c>
      <c r="B8957" t="str">
        <f>T("   Encres d'imprimerie, même concentrées ou sous formes solides (à l'excl. des encres noires)")</f>
        <v xml:space="preserve">   Encres d'imprimerie, même concentrées ou sous formes solides (à l'excl. des encres noires)</v>
      </c>
      <c r="C8957">
        <v>1429131</v>
      </c>
      <c r="D8957">
        <v>1840</v>
      </c>
    </row>
    <row r="8958" spans="1:4" x14ac:dyDescent="0.25">
      <c r="A8958" t="str">
        <f>T("   321590")</f>
        <v xml:space="preserve">   321590</v>
      </c>
      <c r="B8958" t="str">
        <f>T("   Encres à écrire et à dessiner, même concentrées ou sous formes solides")</f>
        <v xml:space="preserve">   Encres à écrire et à dessiner, même concentrées ou sous formes solides</v>
      </c>
      <c r="C8958">
        <v>10389787</v>
      </c>
      <c r="D8958">
        <v>3283</v>
      </c>
    </row>
    <row r="8959" spans="1:4" x14ac:dyDescent="0.25">
      <c r="A8959" t="str">
        <f>T("   340111")</f>
        <v xml:space="preserve">   340111</v>
      </c>
      <c r="B8959" t="s">
        <v>101</v>
      </c>
      <c r="C8959">
        <v>68814914</v>
      </c>
      <c r="D8959">
        <v>163531</v>
      </c>
    </row>
    <row r="8960" spans="1:4" x14ac:dyDescent="0.25">
      <c r="A8960" t="str">
        <f>T("   340119")</f>
        <v xml:space="preserve">   340119</v>
      </c>
      <c r="B8960" t="s">
        <v>102</v>
      </c>
      <c r="C8960">
        <v>20963303</v>
      </c>
      <c r="D8960">
        <v>85075</v>
      </c>
    </row>
    <row r="8961" spans="1:4" x14ac:dyDescent="0.25">
      <c r="A8961" t="str">
        <f>T("   340120")</f>
        <v xml:space="preserve">   340120</v>
      </c>
      <c r="B8961" t="str">
        <f>T("   Savons en flocons, en paillettes, en granulés ou en poudres et savons liquides ou pâteux")</f>
        <v xml:space="preserve">   Savons en flocons, en paillettes, en granulés ou en poudres et savons liquides ou pâteux</v>
      </c>
      <c r="C8961">
        <v>10486606</v>
      </c>
      <c r="D8961">
        <v>44700</v>
      </c>
    </row>
    <row r="8962" spans="1:4" x14ac:dyDescent="0.25">
      <c r="A8962" t="str">
        <f>T("   340219")</f>
        <v xml:space="preserve">   340219</v>
      </c>
      <c r="B8962" t="str">
        <f>T("   Agents de surface organiques, même conditionnés pour la vente au détail (à l'excl. des savons et des agents de surface anioniques, cationiques ou non ioniques)")</f>
        <v xml:space="preserve">   Agents de surface organiques, même conditionnés pour la vente au détail (à l'excl. des savons et des agents de surface anioniques, cationiques ou non ioniques)</v>
      </c>
      <c r="C8962">
        <v>94898027</v>
      </c>
      <c r="D8962">
        <v>264791</v>
      </c>
    </row>
    <row r="8963" spans="1:4" x14ac:dyDescent="0.25">
      <c r="A8963" t="str">
        <f>T("   350610")</f>
        <v xml:space="preserve">   350610</v>
      </c>
      <c r="B8963" t="str">
        <f>T("   Produits de toute espèce à usage de colles ou d'adhésifs, conditionnés pour la vente au détail comme colles ou adhésifs, d'un poids net &lt;= 1 kg")</f>
        <v xml:space="preserve">   Produits de toute espèce à usage de colles ou d'adhésifs, conditionnés pour la vente au détail comme colles ou adhésifs, d'un poids net &lt;= 1 kg</v>
      </c>
      <c r="C8963">
        <v>355064</v>
      </c>
      <c r="D8963">
        <v>602</v>
      </c>
    </row>
    <row r="8964" spans="1:4" x14ac:dyDescent="0.25">
      <c r="A8964" t="str">
        <f>T("   350699")</f>
        <v xml:space="preserve">   350699</v>
      </c>
      <c r="B8964" t="str">
        <f>T("   Colles et autres adhésifs préparés, n.d.a.")</f>
        <v xml:space="preserve">   Colles et autres adhésifs préparés, n.d.a.</v>
      </c>
      <c r="C8964">
        <v>224691</v>
      </c>
      <c r="D8964">
        <v>300</v>
      </c>
    </row>
    <row r="8965" spans="1:4" x14ac:dyDescent="0.25">
      <c r="A8965" t="str">
        <f>T("   391740")</f>
        <v xml:space="preserve">   391740</v>
      </c>
      <c r="B8965" t="str">
        <f>T("   Accessoires pour tubes ou tuyaux [joints, coudes, raccords, par exemple], en matières plastiques")</f>
        <v xml:space="preserve">   Accessoires pour tubes ou tuyaux [joints, coudes, raccords, par exemple], en matières plastiques</v>
      </c>
      <c r="C8965">
        <v>106483</v>
      </c>
      <c r="D8965">
        <v>1202</v>
      </c>
    </row>
    <row r="8966" spans="1:4" x14ac:dyDescent="0.25">
      <c r="A8966" t="str">
        <f>T("   391890")</f>
        <v xml:space="preserve">   391890</v>
      </c>
      <c r="B8966" t="s">
        <v>129</v>
      </c>
      <c r="C8966">
        <v>6920000</v>
      </c>
      <c r="D8966">
        <v>23220</v>
      </c>
    </row>
    <row r="8967" spans="1:4" x14ac:dyDescent="0.25">
      <c r="A8967" t="str">
        <f>T("   391910")</f>
        <v xml:space="preserve">   391910</v>
      </c>
      <c r="B8967" t="str">
        <f>T("   Feuilles, bandes, rubans, pellicules et autres formes plates, auto-adhésifs, en matières plastiques, en rouleaux d'une largeur &lt;= 20 cm")</f>
        <v xml:space="preserve">   Feuilles, bandes, rubans, pellicules et autres formes plates, auto-adhésifs, en matières plastiques, en rouleaux d'une largeur &lt;= 20 cm</v>
      </c>
      <c r="C8967">
        <v>18520012</v>
      </c>
      <c r="D8967">
        <v>22159</v>
      </c>
    </row>
    <row r="8968" spans="1:4" x14ac:dyDescent="0.25">
      <c r="A8968" t="str">
        <f>T("   392350")</f>
        <v xml:space="preserve">   392350</v>
      </c>
      <c r="B8968" t="str">
        <f>T("   Bouchons, couvercles, capsules et autres dispositifs de fermeture, en matières plastiques")</f>
        <v xml:space="preserve">   Bouchons, couvercles, capsules et autres dispositifs de fermeture, en matières plastiques</v>
      </c>
      <c r="C8968">
        <v>49806</v>
      </c>
      <c r="D8968">
        <v>23</v>
      </c>
    </row>
    <row r="8969" spans="1:4" x14ac:dyDescent="0.25">
      <c r="A8969" t="str">
        <f>T("   392610")</f>
        <v xml:space="preserve">   392610</v>
      </c>
      <c r="B8969" t="str">
        <f>T("   Articles de bureau et articles scolaires, en matières plastiques, n.d.a.")</f>
        <v xml:space="preserve">   Articles de bureau et articles scolaires, en matières plastiques, n.d.a.</v>
      </c>
      <c r="C8969">
        <v>31422117</v>
      </c>
      <c r="D8969">
        <v>31647</v>
      </c>
    </row>
    <row r="8970" spans="1:4" x14ac:dyDescent="0.25">
      <c r="A8970" t="str">
        <f>T("   392690")</f>
        <v xml:space="preserve">   392690</v>
      </c>
      <c r="B8970" t="str">
        <f>T("   Ouvrages en matières plastiques et ouvrages en autres matières du n° 3901 à 3914, n.d.a.")</f>
        <v xml:space="preserve">   Ouvrages en matières plastiques et ouvrages en autres matières du n° 3901 à 3914, n.d.a.</v>
      </c>
      <c r="C8970">
        <v>25366231</v>
      </c>
      <c r="D8970">
        <v>32413</v>
      </c>
    </row>
    <row r="8971" spans="1:4" x14ac:dyDescent="0.25">
      <c r="A8971" t="str">
        <f>T("   400700")</f>
        <v xml:space="preserve">   400700</v>
      </c>
      <c r="B8971" t="s">
        <v>152</v>
      </c>
      <c r="C8971">
        <v>3079958</v>
      </c>
      <c r="D8971">
        <v>7709</v>
      </c>
    </row>
    <row r="8972" spans="1:4" x14ac:dyDescent="0.25">
      <c r="A8972" t="str">
        <f>T("   401120")</f>
        <v xml:space="preserve">   401120</v>
      </c>
      <c r="B8972" t="str">
        <f>T("   Pneumatiques neufs, en caoutchouc, des types utilisés pour les autobus ou les camions (à l'excl. des pneumatiques à crampons, à chevrons ou simil.)")</f>
        <v xml:space="preserve">   Pneumatiques neufs, en caoutchouc, des types utilisés pour les autobus ou les camions (à l'excl. des pneumatiques à crampons, à chevrons ou simil.)</v>
      </c>
      <c r="C8972">
        <v>32060347</v>
      </c>
      <c r="D8972">
        <v>29750</v>
      </c>
    </row>
    <row r="8973" spans="1:4" x14ac:dyDescent="0.25">
      <c r="A8973" t="str">
        <f>T("   401220")</f>
        <v xml:space="preserve">   401220</v>
      </c>
      <c r="B8973" t="str">
        <f>T("   Pneumatiques usagés, en caoutchouc")</f>
        <v xml:space="preserve">   Pneumatiques usagés, en caoutchouc</v>
      </c>
      <c r="C8973">
        <v>26884521</v>
      </c>
      <c r="D8973">
        <v>96418</v>
      </c>
    </row>
    <row r="8974" spans="1:4" x14ac:dyDescent="0.25">
      <c r="A8974" t="str">
        <f>T("   401310")</f>
        <v xml:space="preserve">   401310</v>
      </c>
      <c r="B8974" t="str">
        <f>T("   Chambres à air, en caoutchouc, des types utilisés pour les voitures de tourisme [y.c. les voitures du type 'break' et les voitures de course], les autobus ou les camions")</f>
        <v xml:space="preserve">   Chambres à air, en caoutchouc, des types utilisés pour les voitures de tourisme [y.c. les voitures du type 'break' et les voitures de course], les autobus ou les camions</v>
      </c>
      <c r="C8974">
        <v>1170889</v>
      </c>
      <c r="D8974">
        <v>6306</v>
      </c>
    </row>
    <row r="8975" spans="1:4" x14ac:dyDescent="0.25">
      <c r="A8975" t="str">
        <f>T("   401692")</f>
        <v xml:space="preserve">   401692</v>
      </c>
      <c r="B8975" t="str">
        <f>T("   Gommes à effacer, en caoutchouc vulcanisé non durci, prêtes à l'emploi (à l'excl. des articles simplement découpés de forme carrée ou rectangulaire)")</f>
        <v xml:space="preserve">   Gommes à effacer, en caoutchouc vulcanisé non durci, prêtes à l'emploi (à l'excl. des articles simplement découpés de forme carrée ou rectangulaire)</v>
      </c>
      <c r="C8975">
        <v>561669</v>
      </c>
      <c r="D8975">
        <v>830</v>
      </c>
    </row>
    <row r="8976" spans="1:4" x14ac:dyDescent="0.25">
      <c r="A8976" t="str">
        <f>T("   441213")</f>
        <v xml:space="preserve">   441213</v>
      </c>
      <c r="B8976" t="s">
        <v>176</v>
      </c>
      <c r="C8976">
        <v>4359295</v>
      </c>
      <c r="D8976">
        <v>14800</v>
      </c>
    </row>
    <row r="8977" spans="1:4" x14ac:dyDescent="0.25">
      <c r="A8977" t="str">
        <f>T("   441299")</f>
        <v xml:space="preserve">   441299</v>
      </c>
      <c r="B8977" t="s">
        <v>180</v>
      </c>
      <c r="C8977">
        <v>10904365</v>
      </c>
      <c r="D8977">
        <v>39600</v>
      </c>
    </row>
    <row r="8978" spans="1:4" x14ac:dyDescent="0.25">
      <c r="A8978" t="str">
        <f>T("   480100")</f>
        <v xml:space="preserve">   480100</v>
      </c>
      <c r="B8978" t="str">
        <f>T("   Papier journal, en rouleaux d'une largeur &gt; 36 cm ou en feuilles de forme carrée ou rectangulaire dont au moins un coté &gt; 36 cm et l'autre &gt; 15 cm à l'état non plié")</f>
        <v xml:space="preserve">   Papier journal, en rouleaux d'une largeur &gt; 36 cm ou en feuilles de forme carrée ou rectangulaire dont au moins un coté &gt; 36 cm et l'autre &gt; 15 cm à l'état non plié</v>
      </c>
      <c r="C8978">
        <v>41476420</v>
      </c>
      <c r="D8978">
        <v>120584</v>
      </c>
    </row>
    <row r="8979" spans="1:4" x14ac:dyDescent="0.25">
      <c r="A8979" t="str">
        <f>T("   480210")</f>
        <v xml:space="preserve">   480210</v>
      </c>
      <c r="B8979" t="str">
        <f>T("   Papiers et cartons formés feuille à feuille [papiers à la main], de tout format et de toute forme")</f>
        <v xml:space="preserve">   Papiers et cartons formés feuille à feuille [papiers à la main], de tout format et de toute forme</v>
      </c>
      <c r="C8979">
        <v>13936801</v>
      </c>
      <c r="D8979">
        <v>23722</v>
      </c>
    </row>
    <row r="8980" spans="1:4" x14ac:dyDescent="0.25">
      <c r="A8980" t="str">
        <f>T("   480256")</f>
        <v xml:space="preserve">   480256</v>
      </c>
      <c r="B8980" t="s">
        <v>190</v>
      </c>
      <c r="C8980">
        <v>508608779</v>
      </c>
      <c r="D8980">
        <v>1234549.1299999999</v>
      </c>
    </row>
    <row r="8981" spans="1:4" x14ac:dyDescent="0.25">
      <c r="A8981" t="str">
        <f>T("   480257")</f>
        <v xml:space="preserve">   480257</v>
      </c>
      <c r="B8981" t="s">
        <v>191</v>
      </c>
      <c r="C8981">
        <v>323841104</v>
      </c>
      <c r="D8981">
        <v>704493</v>
      </c>
    </row>
    <row r="8982" spans="1:4" x14ac:dyDescent="0.25">
      <c r="A8982" t="str">
        <f>T("   480258")</f>
        <v xml:space="preserve">   480258</v>
      </c>
      <c r="B8982" t="s">
        <v>192</v>
      </c>
      <c r="C8982">
        <v>303792436</v>
      </c>
      <c r="D8982">
        <v>847773</v>
      </c>
    </row>
    <row r="8983" spans="1:4" x14ac:dyDescent="0.25">
      <c r="A8983" t="str">
        <f>T("   480261")</f>
        <v xml:space="preserve">   480261</v>
      </c>
      <c r="B8983" t="s">
        <v>193</v>
      </c>
      <c r="C8983">
        <v>531002</v>
      </c>
      <c r="D8983">
        <v>1426</v>
      </c>
    </row>
    <row r="8984" spans="1:4" x14ac:dyDescent="0.25">
      <c r="A8984" t="str">
        <f>T("   480269")</f>
        <v xml:space="preserve">   480269</v>
      </c>
      <c r="B8984" t="s">
        <v>191</v>
      </c>
      <c r="C8984">
        <v>21593675</v>
      </c>
      <c r="D8984">
        <v>40214</v>
      </c>
    </row>
    <row r="8985" spans="1:4" x14ac:dyDescent="0.25">
      <c r="A8985" t="str">
        <f>T("   480429")</f>
        <v xml:space="preserve">   480429</v>
      </c>
      <c r="B8985" t="str">
        <f>T("   PAPIERS KRAFT POUR SACS DE GRANDE CONTENANCE, NON-COUCHÉS NI ENDUITS, EN ROULEAUX D'UNE LARGEUR &gt; 36 CM (À L'EXCL. DES PAPIERS ÉCRUS AINSI QUE DES ARTICLES DU N° 4802, 4803 OU 4808)")</f>
        <v xml:space="preserve">   PAPIERS KRAFT POUR SACS DE GRANDE CONTENANCE, NON-COUCHÉS NI ENDUITS, EN ROULEAUX D'UNE LARGEUR &gt; 36 CM (À L'EXCL. DES PAPIERS ÉCRUS AINSI QUE DES ARTICLES DU N° 4802, 4803 OU 4808)</v>
      </c>
      <c r="C8985">
        <v>15881336</v>
      </c>
      <c r="D8985">
        <v>38160</v>
      </c>
    </row>
    <row r="8986" spans="1:4" x14ac:dyDescent="0.25">
      <c r="A8986" t="str">
        <f>T("   480459")</f>
        <v xml:space="preserve">   480459</v>
      </c>
      <c r="B8986" t="s">
        <v>197</v>
      </c>
      <c r="C8986">
        <v>543257</v>
      </c>
      <c r="D8986">
        <v>9637</v>
      </c>
    </row>
    <row r="8987" spans="1:4" x14ac:dyDescent="0.25">
      <c r="A8987" t="str">
        <f>T("   480591")</f>
        <v xml:space="preserve">   480591</v>
      </c>
      <c r="B8987" t="str">
        <f>T("   Papiers et cartons, non couchés ni enduits, en rouleaux d'une largeur &gt; 36 cm ou en feuilles de forme carrée ou rectangulaire dont au moins un coté &gt; 36 cm et l'autre &gt; 15 cm à l'état non plié, d'un poids &lt;= 150 g/m², n.d.a.")</f>
        <v xml:space="preserve">   Papiers et cartons, non couchés ni enduits, en rouleaux d'une largeur &gt; 36 cm ou en feuilles de forme carrée ou rectangulaire dont au moins un coté &gt; 36 cm et l'autre &gt; 15 cm à l'état non plié, d'un poids &lt;= 150 g/m², n.d.a.</v>
      </c>
      <c r="C8987">
        <v>6246487</v>
      </c>
      <c r="D8987">
        <v>8400</v>
      </c>
    </row>
    <row r="8988" spans="1:4" x14ac:dyDescent="0.25">
      <c r="A8988" t="str">
        <f>T("   480592")</f>
        <v xml:space="preserve">   480592</v>
      </c>
      <c r="B8988" t="str">
        <f>T("   Papiers et cartons, non couchés ni enduits, en rouleaux d'une largeur &gt; 36 cm ou en feuilles de forme carrée ou rectangulaire dont au moins un coté &gt; 36 cm et l'autre &gt; 15 cm à l'état non plié, d'un poids &gt; 150 g/m² mais &lt; 225 g/m², n.d.a.")</f>
        <v xml:space="preserve">   Papiers et cartons, non couchés ni enduits, en rouleaux d'une largeur &gt; 36 cm ou en feuilles de forme carrée ou rectangulaire dont au moins un coté &gt; 36 cm et l'autre &gt; 15 cm à l'état non plié, d'un poids &gt; 150 g/m² mais &lt; 225 g/m², n.d.a.</v>
      </c>
      <c r="C8988">
        <v>415788</v>
      </c>
      <c r="D8988">
        <v>300</v>
      </c>
    </row>
    <row r="8989" spans="1:4" x14ac:dyDescent="0.25">
      <c r="A8989" t="str">
        <f>T("   480830")</f>
        <v xml:space="preserve">   480830</v>
      </c>
      <c r="B8989" t="s">
        <v>201</v>
      </c>
      <c r="C8989">
        <v>16175147</v>
      </c>
      <c r="D8989">
        <v>41020</v>
      </c>
    </row>
    <row r="8990" spans="1:4" x14ac:dyDescent="0.25">
      <c r="A8990" t="str">
        <f>T("   480990")</f>
        <v xml:space="preserve">   480990</v>
      </c>
      <c r="B8990" t="s">
        <v>203</v>
      </c>
      <c r="C8990">
        <v>1572160</v>
      </c>
      <c r="D8990">
        <v>3536</v>
      </c>
    </row>
    <row r="8991" spans="1:4" x14ac:dyDescent="0.25">
      <c r="A8991" t="str">
        <f>T("   481013")</f>
        <v xml:space="preserve">   481013</v>
      </c>
      <c r="B8991" t="s">
        <v>204</v>
      </c>
      <c r="C8991">
        <v>320918</v>
      </c>
      <c r="D8991">
        <v>472</v>
      </c>
    </row>
    <row r="8992" spans="1:4" x14ac:dyDescent="0.25">
      <c r="A8992" t="str">
        <f>T("   481019")</f>
        <v xml:space="preserve">   481019</v>
      </c>
      <c r="B8992" t="s">
        <v>204</v>
      </c>
      <c r="C8992">
        <v>5463157</v>
      </c>
      <c r="D8992">
        <v>11300</v>
      </c>
    </row>
    <row r="8993" spans="1:4" x14ac:dyDescent="0.25">
      <c r="A8993" t="str">
        <f>T("   481029")</f>
        <v xml:space="preserve">   481029</v>
      </c>
      <c r="B8993" t="s">
        <v>205</v>
      </c>
      <c r="C8993">
        <v>71385976</v>
      </c>
      <c r="D8993">
        <v>136427</v>
      </c>
    </row>
    <row r="8994" spans="1:4" x14ac:dyDescent="0.25">
      <c r="A8994" t="str">
        <f>T("   481099")</f>
        <v xml:space="preserve">   481099</v>
      </c>
      <c r="B8994" t="s">
        <v>208</v>
      </c>
      <c r="C8994">
        <v>27578839</v>
      </c>
      <c r="D8994">
        <v>59515</v>
      </c>
    </row>
    <row r="8995" spans="1:4" x14ac:dyDescent="0.25">
      <c r="A8995" t="str">
        <f>T("   481620")</f>
        <v xml:space="preserve">   481620</v>
      </c>
      <c r="B8995" t="s">
        <v>212</v>
      </c>
      <c r="C8995">
        <v>2203078</v>
      </c>
      <c r="D8995">
        <v>2010</v>
      </c>
    </row>
    <row r="8996" spans="1:4" x14ac:dyDescent="0.25">
      <c r="A8996" t="str">
        <f>T("   481710")</f>
        <v xml:space="preserve">   481710</v>
      </c>
      <c r="B8996" t="str">
        <f>T("   Enveloppes, en papier ou en carton")</f>
        <v xml:space="preserve">   Enveloppes, en papier ou en carton</v>
      </c>
      <c r="C8996">
        <v>13699950</v>
      </c>
      <c r="D8996">
        <v>19931</v>
      </c>
    </row>
    <row r="8997" spans="1:4" x14ac:dyDescent="0.25">
      <c r="A8997" t="str">
        <f>T("   481910")</f>
        <v xml:space="preserve">   481910</v>
      </c>
      <c r="B8997" t="str">
        <f>T("   Boîtes et caisses en papier ou en carton ondulé")</f>
        <v xml:space="preserve">   Boîtes et caisses en papier ou en carton ondulé</v>
      </c>
      <c r="C8997">
        <v>7737148</v>
      </c>
      <c r="D8997">
        <v>16055</v>
      </c>
    </row>
    <row r="8998" spans="1:4" x14ac:dyDescent="0.25">
      <c r="A8998" t="str">
        <f>T("   481920")</f>
        <v xml:space="preserve">   481920</v>
      </c>
      <c r="B8998" t="str">
        <f>T("   Boîtes et cartonnages, pliants, en papier ou en carton non ondulé")</f>
        <v xml:space="preserve">   Boîtes et cartonnages, pliants, en papier ou en carton non ondulé</v>
      </c>
      <c r="C8998">
        <v>181727</v>
      </c>
      <c r="D8998">
        <v>84</v>
      </c>
    </row>
    <row r="8999" spans="1:4" x14ac:dyDescent="0.25">
      <c r="A8999" t="str">
        <f>T("   481940")</f>
        <v xml:space="preserve">   481940</v>
      </c>
      <c r="B8999" t="str">
        <f>T("   Sacs, sachets, pochettes et cornets, en papier, carton, ouate de cellulose ou nappes de fibres de cellulose (à l'excl. des pochettes pour disques et des sacs d'une largeur à la base &gt;= 40 cm)")</f>
        <v xml:space="preserve">   Sacs, sachets, pochettes et cornets, en papier, carton, ouate de cellulose ou nappes de fibres de cellulose (à l'excl. des pochettes pour disques et des sacs d'une largeur à la base &gt;= 40 cm)</v>
      </c>
      <c r="C8999">
        <v>1003634</v>
      </c>
      <c r="D8999">
        <v>1260</v>
      </c>
    </row>
    <row r="9000" spans="1:4" x14ac:dyDescent="0.25">
      <c r="A9000" t="str">
        <f>T("   482010")</f>
        <v xml:space="preserve">   482010</v>
      </c>
      <c r="B9000" t="str">
        <f>T("   Registres, livres comptables, carnets de notes, de commandes ou de quittances, blocs-mémorandums, blocs de papier à lettres, agendas et ouvrages simil., en papier ou carton")</f>
        <v xml:space="preserve">   Registres, livres comptables, carnets de notes, de commandes ou de quittances, blocs-mémorandums, blocs de papier à lettres, agendas et ouvrages simil., en papier ou carton</v>
      </c>
      <c r="C9000">
        <v>47063107</v>
      </c>
      <c r="D9000">
        <v>59449</v>
      </c>
    </row>
    <row r="9001" spans="1:4" x14ac:dyDescent="0.25">
      <c r="A9001" t="str">
        <f>T("   482020")</f>
        <v xml:space="preserve">   482020</v>
      </c>
      <c r="B9001" t="str">
        <f>T("   Cahiers pour l'écriture, en papier ou carton")</f>
        <v xml:space="preserve">   Cahiers pour l'écriture, en papier ou carton</v>
      </c>
      <c r="C9001">
        <v>859083916</v>
      </c>
      <c r="D9001">
        <v>1977424.85</v>
      </c>
    </row>
    <row r="9002" spans="1:4" x14ac:dyDescent="0.25">
      <c r="A9002" t="str">
        <f>T("   482030")</f>
        <v xml:space="preserve">   482030</v>
      </c>
      <c r="B9002" t="str">
        <f>T("   Classeurs, reliures (autres que les couvertures pour livres), chemises et couvertures à dossiers, en papier ou en carton")</f>
        <v xml:space="preserve">   Classeurs, reliures (autres que les couvertures pour livres), chemises et couvertures à dossiers, en papier ou en carton</v>
      </c>
      <c r="C9002">
        <v>55331720</v>
      </c>
      <c r="D9002">
        <v>109775.6</v>
      </c>
    </row>
    <row r="9003" spans="1:4" x14ac:dyDescent="0.25">
      <c r="A9003" t="str">
        <f>T("   482040")</f>
        <v xml:space="preserve">   482040</v>
      </c>
      <c r="B9003" t="str">
        <f>T("   Liasses et carnets manifold, même comportant des feuilles de papier carbone, en papier ou carton")</f>
        <v xml:space="preserve">   Liasses et carnets manifold, même comportant des feuilles de papier carbone, en papier ou carton</v>
      </c>
      <c r="C9003">
        <v>4157106</v>
      </c>
      <c r="D9003">
        <v>4900</v>
      </c>
    </row>
    <row r="9004" spans="1:4" x14ac:dyDescent="0.25">
      <c r="A9004" t="str">
        <f>T("   482090")</f>
        <v xml:space="preserve">   482090</v>
      </c>
      <c r="B9004" t="s">
        <v>217</v>
      </c>
      <c r="C9004">
        <v>11832126</v>
      </c>
      <c r="D9004">
        <v>13206</v>
      </c>
    </row>
    <row r="9005" spans="1:4" x14ac:dyDescent="0.25">
      <c r="A9005" t="str">
        <f>T("   482110")</f>
        <v xml:space="preserve">   482110</v>
      </c>
      <c r="B9005" t="str">
        <f>T("   ÉTIQUETTES DE TOUS GENRES, EN PAPIER OU EN CARTON, IMPRIMÉES")</f>
        <v xml:space="preserve">   ÉTIQUETTES DE TOUS GENRES, EN PAPIER OU EN CARTON, IMPRIMÉES</v>
      </c>
      <c r="C9005">
        <v>1639843</v>
      </c>
      <c r="D9005">
        <v>3261</v>
      </c>
    </row>
    <row r="9006" spans="1:4" x14ac:dyDescent="0.25">
      <c r="A9006" t="str">
        <f>T("   482340")</f>
        <v xml:space="preserve">   482340</v>
      </c>
      <c r="B9006" t="str">
        <f>T("   Papiers à diagrammes pour appareils enregistreurs, en bobines d'une largeur &lt;= 36 cm ou en feuilles de forme carrée ou rectangulaire dont aucun côté &gt; 36 cm à l'état non plié, ou découpés en disques")</f>
        <v xml:space="preserve">   Papiers à diagrammes pour appareils enregistreurs, en bobines d'une largeur &lt;= 36 cm ou en feuilles de forme carrée ou rectangulaire dont aucun côté &gt; 36 cm à l'état non plié, ou découpés en disques</v>
      </c>
      <c r="C9006">
        <v>390765</v>
      </c>
      <c r="D9006">
        <v>3041</v>
      </c>
    </row>
    <row r="9007" spans="1:4" x14ac:dyDescent="0.25">
      <c r="A9007" t="str">
        <f>T("   491000")</f>
        <v xml:space="preserve">   491000</v>
      </c>
      <c r="B9007" t="str">
        <f>T("   Calendriers de tous genres, imprimés, y.c. les blocs de calendriers à effeuiller")</f>
        <v xml:space="preserve">   Calendriers de tous genres, imprimés, y.c. les blocs de calendriers à effeuiller</v>
      </c>
      <c r="C9007">
        <v>134530</v>
      </c>
      <c r="D9007">
        <v>84</v>
      </c>
    </row>
    <row r="9008" spans="1:4" x14ac:dyDescent="0.25">
      <c r="A9008" t="str">
        <f>T("   491110")</f>
        <v xml:space="preserve">   491110</v>
      </c>
      <c r="B9008" t="str">
        <f>T("   Imprimés publicitaires, catalogues commerciaux et simil.")</f>
        <v xml:space="preserve">   Imprimés publicitaires, catalogues commerciaux et simil.</v>
      </c>
      <c r="C9008">
        <v>94286</v>
      </c>
      <c r="D9008">
        <v>461</v>
      </c>
    </row>
    <row r="9009" spans="1:4" x14ac:dyDescent="0.25">
      <c r="A9009" t="str">
        <f>T("   520852")</f>
        <v xml:space="preserve">   520852</v>
      </c>
      <c r="B9009" t="str">
        <f>T("   Tissus de coton, imprimés, à armure toile, contenant &gt;= 85% en poids de coton, d'un poids &gt; 100 g/m² mais &lt;= 200 g/m²")</f>
        <v xml:space="preserve">   Tissus de coton, imprimés, à armure toile, contenant &gt;= 85% en poids de coton, d'un poids &gt; 100 g/m² mais &lt;= 200 g/m²</v>
      </c>
      <c r="C9009">
        <v>12000000</v>
      </c>
      <c r="D9009">
        <v>18302</v>
      </c>
    </row>
    <row r="9010" spans="1:4" x14ac:dyDescent="0.25">
      <c r="A9010" t="str">
        <f>T("   610910")</f>
        <v xml:space="preserve">   610910</v>
      </c>
      <c r="B9010" t="str">
        <f>T("   T-shirts et maillots de corps, en bonneterie, de coton,")</f>
        <v xml:space="preserve">   T-shirts et maillots de corps, en bonneterie, de coton,</v>
      </c>
      <c r="C9010">
        <v>62559</v>
      </c>
      <c r="D9010">
        <v>135</v>
      </c>
    </row>
    <row r="9011" spans="1:4" x14ac:dyDescent="0.25">
      <c r="A9011" t="str">
        <f>T("   610990")</f>
        <v xml:space="preserve">   610990</v>
      </c>
      <c r="B9011" t="str">
        <f>T("   T-shirts et maillots de corps, en bonneterie, de matières textiles (sauf de coton)")</f>
        <v xml:space="preserve">   T-shirts et maillots de corps, en bonneterie, de matières textiles (sauf de coton)</v>
      </c>
      <c r="C9011">
        <v>3376</v>
      </c>
      <c r="D9011">
        <v>451</v>
      </c>
    </row>
    <row r="9012" spans="1:4" x14ac:dyDescent="0.25">
      <c r="A9012" t="str">
        <f>T("   630510")</f>
        <v xml:space="preserve">   630510</v>
      </c>
      <c r="B9012" t="str">
        <f>T("   Sacs et sachets d'emballage de jute ou d'autres fibres textiles libériennes du n° 5303")</f>
        <v xml:space="preserve">   Sacs et sachets d'emballage de jute ou d'autres fibres textiles libériennes du n° 5303</v>
      </c>
      <c r="C9012">
        <v>48208230</v>
      </c>
      <c r="D9012">
        <v>97356</v>
      </c>
    </row>
    <row r="9013" spans="1:4" x14ac:dyDescent="0.25">
      <c r="A9013" t="str">
        <f>T("   630900")</f>
        <v xml:space="preserve">   630900</v>
      </c>
      <c r="B9013" t="s">
        <v>280</v>
      </c>
      <c r="C9013">
        <v>26708686</v>
      </c>
      <c r="D9013">
        <v>48000</v>
      </c>
    </row>
    <row r="9014" spans="1:4" x14ac:dyDescent="0.25">
      <c r="A9014" t="str">
        <f>T("   690890")</f>
        <v xml:space="preserve">   690890</v>
      </c>
      <c r="B9014" t="s">
        <v>311</v>
      </c>
      <c r="C9014">
        <v>3092848</v>
      </c>
      <c r="D9014">
        <v>27440</v>
      </c>
    </row>
    <row r="9015" spans="1:4" x14ac:dyDescent="0.25">
      <c r="A9015" t="str">
        <f>T("   720917")</f>
        <v xml:space="preserve">   720917</v>
      </c>
      <c r="B9015" t="str">
        <f>T("   PRODUITS LAMINÉS PLATS, EN FER OU EN ACIERS NON-ALLIÉS, D'UNE LARGEUR &gt;= 600 MM, NON-PLAQUÉS NI REVÊTUS, ENROULÉS, SIMPL. LAMINÉS À FROID, D'UNE ÉPAISSEUR &gt;= 0,5 MM MAIS &lt;= 1 MM")</f>
        <v xml:space="preserve">   PRODUITS LAMINÉS PLATS, EN FER OU EN ACIERS NON-ALLIÉS, D'UNE LARGEUR &gt;= 600 MM, NON-PLAQUÉS NI REVÊTUS, ENROULÉS, SIMPL. LAMINÉS À FROID, D'UNE ÉPAISSEUR &gt;= 0,5 MM MAIS &lt;= 1 MM</v>
      </c>
      <c r="C9015">
        <v>13550166</v>
      </c>
      <c r="D9015">
        <v>23620</v>
      </c>
    </row>
    <row r="9016" spans="1:4" x14ac:dyDescent="0.25">
      <c r="A9016" t="str">
        <f>T("   721041")</f>
        <v xml:space="preserve">   721041</v>
      </c>
      <c r="B9016" t="str">
        <f>T("   Produits laminés plats, en fer ou en aciers non alliés, d'une largeur &gt;= 600 mm, laminés à chaud ou à froid, zingués, ondulés (à l'excl. des produits zingués électrolytiquement)")</f>
        <v xml:space="preserve">   Produits laminés plats, en fer ou en aciers non alliés, d'une largeur &gt;= 600 mm, laminés à chaud ou à froid, zingués, ondulés (à l'excl. des produits zingués électrolytiquement)</v>
      </c>
      <c r="C9016">
        <v>37120864</v>
      </c>
      <c r="D9016">
        <v>100400</v>
      </c>
    </row>
    <row r="9017" spans="1:4" x14ac:dyDescent="0.25">
      <c r="A9017" t="str">
        <f>T("   721049")</f>
        <v xml:space="preserve">   721049</v>
      </c>
      <c r="B9017" t="str">
        <f>T("   Produits laminés plats, en fer ou en aciers non alliés, d'une largeur &gt;= 600 mm, laminés à chaud ou à froid, zingués, non ondulés (à l'excl. des produits zingués électrolytiquement)")</f>
        <v xml:space="preserve">   Produits laminés plats, en fer ou en aciers non alliés, d'une largeur &gt;= 600 mm, laminés à chaud ou à froid, zingués, non ondulés (à l'excl. des produits zingués électrolytiquement)</v>
      </c>
      <c r="C9017">
        <v>1276002064</v>
      </c>
      <c r="D9017">
        <v>2110603</v>
      </c>
    </row>
    <row r="9018" spans="1:4" x14ac:dyDescent="0.25">
      <c r="A9018" t="str">
        <f>T("   730890")</f>
        <v xml:space="preserve">   730890</v>
      </c>
      <c r="B9018" t="s">
        <v>349</v>
      </c>
      <c r="C9018">
        <v>367927</v>
      </c>
      <c r="D9018">
        <v>1000</v>
      </c>
    </row>
    <row r="9019" spans="1:4" x14ac:dyDescent="0.25">
      <c r="A9019" t="str">
        <f>T("   732111")</f>
        <v xml:space="preserve">   732111</v>
      </c>
      <c r="B9019" t="s">
        <v>356</v>
      </c>
      <c r="C9019">
        <v>15315125</v>
      </c>
      <c r="D9019">
        <v>10997</v>
      </c>
    </row>
    <row r="9020" spans="1:4" x14ac:dyDescent="0.25">
      <c r="A9020" t="str">
        <f>T("   732181")</f>
        <v xml:space="preserve">   732181</v>
      </c>
      <c r="B9020" t="s">
        <v>358</v>
      </c>
      <c r="C9020">
        <v>726347</v>
      </c>
      <c r="D9020">
        <v>455</v>
      </c>
    </row>
    <row r="9021" spans="1:4" x14ac:dyDescent="0.25">
      <c r="A9021" t="str">
        <f>T("   732190")</f>
        <v xml:space="preserve">   732190</v>
      </c>
      <c r="B9021" t="str">
        <f>T("   Parties des appareils ménagers chauffants non-électriques du n° 7321, n.d.a.")</f>
        <v xml:space="preserve">   Parties des appareils ménagers chauffants non-électriques du n° 7321, n.d.a.</v>
      </c>
      <c r="C9021">
        <v>61021</v>
      </c>
      <c r="D9021">
        <v>65</v>
      </c>
    </row>
    <row r="9022" spans="1:4" x14ac:dyDescent="0.25">
      <c r="A9022" t="str">
        <f>T("   732399")</f>
        <v xml:space="preserve">   732399</v>
      </c>
      <c r="B9022" t="s">
        <v>362</v>
      </c>
      <c r="C9022">
        <v>599996</v>
      </c>
      <c r="D9022">
        <v>5913</v>
      </c>
    </row>
    <row r="9023" spans="1:4" x14ac:dyDescent="0.25">
      <c r="A9023" t="str">
        <f>T("   761519")</f>
        <v xml:space="preserve">   761519</v>
      </c>
      <c r="B9023" t="s">
        <v>367</v>
      </c>
      <c r="C9023">
        <v>9568306</v>
      </c>
      <c r="D9023">
        <v>8207.64</v>
      </c>
    </row>
    <row r="9024" spans="1:4" x14ac:dyDescent="0.25">
      <c r="A9024" t="str">
        <f>T("   820530")</f>
        <v xml:space="preserve">   820530</v>
      </c>
      <c r="B9024" t="str">
        <f>T("   Rabots, ciseaux, gouges et outils tranchants simil. à main pour le travail du bois")</f>
        <v xml:space="preserve">   Rabots, ciseaux, gouges et outils tranchants simil. à main pour le travail du bois</v>
      </c>
      <c r="C9024">
        <v>1199573</v>
      </c>
      <c r="D9024">
        <v>2000</v>
      </c>
    </row>
    <row r="9025" spans="1:4" x14ac:dyDescent="0.25">
      <c r="A9025" t="str">
        <f>T("   820559")</f>
        <v xml:space="preserve">   820559</v>
      </c>
      <c r="B9025" t="str">
        <f>T("   Outils à main, y.c. -les diamants de vitrier-, en métaux communs, n.d.a.")</f>
        <v xml:space="preserve">   Outils à main, y.c. -les diamants de vitrier-, en métaux communs, n.d.a.</v>
      </c>
      <c r="C9025">
        <v>1431818</v>
      </c>
      <c r="D9025">
        <v>2260</v>
      </c>
    </row>
    <row r="9026" spans="1:4" x14ac:dyDescent="0.25">
      <c r="A9026" t="str">
        <f>T("   821410")</f>
        <v xml:space="preserve">   821410</v>
      </c>
      <c r="B9026" t="str">
        <f>T("   Coupe-papier, ouvre-lettres, grattoirs, taille-crayons et leurs lames, en métaux communs (sauf machines, appareils et instruments à usage similaire du chapitre 84)")</f>
        <v xml:space="preserve">   Coupe-papier, ouvre-lettres, grattoirs, taille-crayons et leurs lames, en métaux communs (sauf machines, appareils et instruments à usage similaire du chapitre 84)</v>
      </c>
      <c r="C9026">
        <v>1022056</v>
      </c>
      <c r="D9026">
        <v>1510</v>
      </c>
    </row>
    <row r="9027" spans="1:4" x14ac:dyDescent="0.25">
      <c r="A9027" t="str">
        <f>T("   830300")</f>
        <v xml:space="preserve">   830300</v>
      </c>
      <c r="B9027" t="str">
        <f>T("   Coffres-forts, portes blindées et compartiments pour chambres fortes, coffres et cassettes de sûreté et articles simil., en métaux communs")</f>
        <v xml:space="preserve">   Coffres-forts, portes blindées et compartiments pour chambres fortes, coffres et cassettes de sûreté et articles simil., en métaux communs</v>
      </c>
      <c r="C9027">
        <v>6684146</v>
      </c>
      <c r="D9027">
        <v>13520</v>
      </c>
    </row>
    <row r="9028" spans="1:4" x14ac:dyDescent="0.25">
      <c r="A9028" t="str">
        <f>T("   830510")</f>
        <v xml:space="preserve">   830510</v>
      </c>
      <c r="B9028" t="str">
        <f>T("   Mécanismes pour reliure de feuillets mobiles ou pour classeurs, en métaux communs (sauf fermoirs pour livres et registres)")</f>
        <v xml:space="preserve">   Mécanismes pour reliure de feuillets mobiles ou pour classeurs, en métaux communs (sauf fermoirs pour livres et registres)</v>
      </c>
      <c r="C9028">
        <v>804292</v>
      </c>
      <c r="D9028">
        <v>3000</v>
      </c>
    </row>
    <row r="9029" spans="1:4" x14ac:dyDescent="0.25">
      <c r="A9029" t="str">
        <f>T("   830590")</f>
        <v xml:space="preserve">   830590</v>
      </c>
      <c r="B9029" t="s">
        <v>376</v>
      </c>
      <c r="C9029">
        <v>1786178</v>
      </c>
      <c r="D9029">
        <v>1668</v>
      </c>
    </row>
    <row r="9030" spans="1:4" x14ac:dyDescent="0.25">
      <c r="A9030" t="str">
        <f>T("   841451")</f>
        <v xml:space="preserve">   841451</v>
      </c>
      <c r="B9030" t="str">
        <f>T("   Ventilateurs de table, de sol, muraux, plafonniers, de toitures ou de fenêtres, à moteur électrique incorporé, d'une puissance &lt;= 125 W")</f>
        <v xml:space="preserve">   Ventilateurs de table, de sol, muraux, plafonniers, de toitures ou de fenêtres, à moteur électrique incorporé, d'une puissance &lt;= 125 W</v>
      </c>
      <c r="C9030">
        <v>2488557</v>
      </c>
      <c r="D9030">
        <v>1680</v>
      </c>
    </row>
    <row r="9031" spans="1:4" x14ac:dyDescent="0.25">
      <c r="A9031" t="str">
        <f>T("   841459")</f>
        <v xml:space="preserve">   841459</v>
      </c>
      <c r="B9031" t="str">
        <f>T("   Ventilateurs (sauf ventilateurs de table, de sol, muraux, plafonniers, de toitures ou de fenêtres, à moteur électrique incorporé, d'une puissance &lt;= 125 W)")</f>
        <v xml:space="preserve">   Ventilateurs (sauf ventilateurs de table, de sol, muraux, plafonniers, de toitures ou de fenêtres, à moteur électrique incorporé, d'une puissance &lt;= 125 W)</v>
      </c>
      <c r="C9031">
        <v>5065706</v>
      </c>
      <c r="D9031">
        <v>4294</v>
      </c>
    </row>
    <row r="9032" spans="1:4" x14ac:dyDescent="0.25">
      <c r="A9032" t="str">
        <f>T("   841510")</f>
        <v xml:space="preserve">   841510</v>
      </c>
      <c r="B9032" t="s">
        <v>395</v>
      </c>
      <c r="C9032">
        <v>314362434</v>
      </c>
      <c r="D9032">
        <v>325195.59999999998</v>
      </c>
    </row>
    <row r="9033" spans="1:4" x14ac:dyDescent="0.25">
      <c r="A9033" t="str">
        <f>T("   841582")</f>
        <v xml:space="preserve">   841582</v>
      </c>
      <c r="B9033" t="s">
        <v>397</v>
      </c>
      <c r="C9033">
        <v>1367325</v>
      </c>
      <c r="D9033">
        <v>856</v>
      </c>
    </row>
    <row r="9034" spans="1:4" x14ac:dyDescent="0.25">
      <c r="A9034" t="str">
        <f>T("   841583")</f>
        <v xml:space="preserve">   841583</v>
      </c>
      <c r="B9034" t="s">
        <v>398</v>
      </c>
      <c r="C9034">
        <v>288467</v>
      </c>
      <c r="D9034">
        <v>180</v>
      </c>
    </row>
    <row r="9035" spans="1:4" x14ac:dyDescent="0.25">
      <c r="A9035" t="str">
        <f>T("   841590")</f>
        <v xml:space="preserve">   841590</v>
      </c>
      <c r="B9035" t="str">
        <f>T("   Parties de machines et appareils pour le conditionnement de l'air comprenant un ventilateur à moteur et des dispositifs propres à modifier la température et l'humidité de l'air, n.d.a.")</f>
        <v xml:space="preserve">   Parties de machines et appareils pour le conditionnement de l'air comprenant un ventilateur à moteur et des dispositifs propres à modifier la température et l'humidité de l'air, n.d.a.</v>
      </c>
      <c r="C9035">
        <v>5927429</v>
      </c>
      <c r="D9035">
        <v>4420</v>
      </c>
    </row>
    <row r="9036" spans="1:4" x14ac:dyDescent="0.25">
      <c r="A9036" t="str">
        <f>T("   841810")</f>
        <v xml:space="preserve">   841810</v>
      </c>
      <c r="B9036" t="str">
        <f>T("   Réfrigérateurs et congélateurs-conservateurs combinés, avec portes extérieures séparées")</f>
        <v xml:space="preserve">   Réfrigérateurs et congélateurs-conservateurs combinés, avec portes extérieures séparées</v>
      </c>
      <c r="C9036">
        <v>77685329</v>
      </c>
      <c r="D9036">
        <v>42933</v>
      </c>
    </row>
    <row r="9037" spans="1:4" x14ac:dyDescent="0.25">
      <c r="A9037" t="str">
        <f>T("   841821")</f>
        <v xml:space="preserve">   841821</v>
      </c>
      <c r="B9037" t="str">
        <f>T("   Réfrigérateurs ménagers à compression")</f>
        <v xml:space="preserve">   Réfrigérateurs ménagers à compression</v>
      </c>
      <c r="C9037">
        <v>2622045</v>
      </c>
      <c r="D9037">
        <v>1493</v>
      </c>
    </row>
    <row r="9038" spans="1:4" x14ac:dyDescent="0.25">
      <c r="A9038" t="str">
        <f>T("   841829")</f>
        <v xml:space="preserve">   841829</v>
      </c>
      <c r="B9038" t="str">
        <f>T("   Réfrigérateurs ménagers à absorption, non-électriques")</f>
        <v xml:space="preserve">   Réfrigérateurs ménagers à absorption, non-électriques</v>
      </c>
      <c r="C9038">
        <v>78405957</v>
      </c>
      <c r="D9038">
        <v>80338</v>
      </c>
    </row>
    <row r="9039" spans="1:4" x14ac:dyDescent="0.25">
      <c r="A9039" t="str">
        <f>T("   841830")</f>
        <v xml:space="preserve">   841830</v>
      </c>
      <c r="B9039" t="str">
        <f>T("   Meubles congélateurs-conservateurs du type coffre, capacité &lt;= 800 l")</f>
        <v xml:space="preserve">   Meubles congélateurs-conservateurs du type coffre, capacité &lt;= 800 l</v>
      </c>
      <c r="C9039">
        <v>56870516</v>
      </c>
      <c r="D9039">
        <v>34494</v>
      </c>
    </row>
    <row r="9040" spans="1:4" x14ac:dyDescent="0.25">
      <c r="A9040" t="str">
        <f>T("   841850")</f>
        <v xml:space="preserve">   841850</v>
      </c>
      <c r="B9040" t="s">
        <v>400</v>
      </c>
      <c r="C9040">
        <v>9992832</v>
      </c>
      <c r="D9040">
        <v>6080</v>
      </c>
    </row>
    <row r="9041" spans="1:4" x14ac:dyDescent="0.25">
      <c r="A9041" t="str">
        <f>T("   841899")</f>
        <v xml:space="preserve">   841899</v>
      </c>
      <c r="B9041" t="str">
        <f>T("   Parties de réfrigérateurs et de congélateurs-conservateurs du type armoire et du type coffre et d'autres matériel, machines et appareils pour la production du froid, parties de pompes à chaleur, n.d.a.")</f>
        <v xml:space="preserve">   Parties de réfrigérateurs et de congélateurs-conservateurs du type armoire et du type coffre et d'autres matériel, machines et appareils pour la production du froid, parties de pompes à chaleur, n.d.a.</v>
      </c>
      <c r="C9041">
        <v>38846</v>
      </c>
      <c r="D9041">
        <v>109</v>
      </c>
    </row>
    <row r="9042" spans="1:4" x14ac:dyDescent="0.25">
      <c r="A9042" t="str">
        <f>T("   842290")</f>
        <v xml:space="preserve">   842290</v>
      </c>
      <c r="B9042" t="str">
        <f>T("   Parties des machines à laver la vaisselle, des machines à empaqueter ou à emballer les marchandises et autres machines et appareils du n° 8422, n.d.a.")</f>
        <v xml:space="preserve">   Parties des machines à laver la vaisselle, des machines à empaqueter ou à emballer les marchandises et autres machines et appareils du n° 8422, n.d.a.</v>
      </c>
      <c r="C9042">
        <v>748866</v>
      </c>
      <c r="D9042">
        <v>685</v>
      </c>
    </row>
    <row r="9043" spans="1:4" x14ac:dyDescent="0.25">
      <c r="A9043" t="str">
        <f>T("   842720")</f>
        <v xml:space="preserve">   842720</v>
      </c>
      <c r="B9043" t="str">
        <f>T("   Chariots de manutention autopropulsés, autres qu'à moteur électrique, avec dispositif de levage")</f>
        <v xml:space="preserve">   Chariots de manutention autopropulsés, autres qu'à moteur électrique, avec dispositif de levage</v>
      </c>
      <c r="C9043">
        <v>1274864</v>
      </c>
      <c r="D9043">
        <v>595</v>
      </c>
    </row>
    <row r="9044" spans="1:4" x14ac:dyDescent="0.25">
      <c r="A9044" t="str">
        <f>T("   843710")</f>
        <v xml:space="preserve">   843710</v>
      </c>
      <c r="B9044" t="str">
        <f>T("   Machines pour le nettoyage, le triage ou le criblage des grains ou des légumes secs")</f>
        <v xml:space="preserve">   Machines pour le nettoyage, le triage ou le criblage des grains ou des légumes secs</v>
      </c>
      <c r="C9044">
        <v>14411452</v>
      </c>
      <c r="D9044">
        <v>6500</v>
      </c>
    </row>
    <row r="9045" spans="1:4" x14ac:dyDescent="0.25">
      <c r="A9045" t="str">
        <f>T("   843780")</f>
        <v xml:space="preserve">   843780</v>
      </c>
      <c r="B9045" t="s">
        <v>412</v>
      </c>
      <c r="C9045">
        <v>1980343</v>
      </c>
      <c r="D9045">
        <v>1697</v>
      </c>
    </row>
    <row r="9046" spans="1:4" x14ac:dyDescent="0.25">
      <c r="A9046" t="str">
        <f>T("   843790")</f>
        <v xml:space="preserve">   843790</v>
      </c>
      <c r="B9046" t="str">
        <f>T("   Parties de machines et appareils de minoterie ou pour le traitement des céréales ou légumes secs ou pour le nettoyage, le triage ou le criblage des grains ou des légumes secs, n.d.a.")</f>
        <v xml:space="preserve">   Parties de machines et appareils de minoterie ou pour le traitement des céréales ou légumes secs ou pour le nettoyage, le triage ou le criblage des grains ou des légumes secs, n.d.a.</v>
      </c>
      <c r="C9046">
        <v>551795</v>
      </c>
      <c r="D9046">
        <v>258</v>
      </c>
    </row>
    <row r="9047" spans="1:4" x14ac:dyDescent="0.25">
      <c r="A9047" t="str">
        <f>T("   843880")</f>
        <v xml:space="preserve">   843880</v>
      </c>
      <c r="B9047" t="str">
        <f>T("   Machines et appareils pour la préparation ou la fabrication industrielles d'aliments ou de boissons, n.d.a.")</f>
        <v xml:space="preserve">   Machines et appareils pour la préparation ou la fabrication industrielles d'aliments ou de boissons, n.d.a.</v>
      </c>
      <c r="C9047">
        <v>9318943</v>
      </c>
      <c r="D9047">
        <v>4350</v>
      </c>
    </row>
    <row r="9048" spans="1:4" x14ac:dyDescent="0.25">
      <c r="A9048" t="str">
        <f>T("   844010")</f>
        <v xml:space="preserve">   844010</v>
      </c>
      <c r="B9048" t="s">
        <v>415</v>
      </c>
      <c r="C9048">
        <v>1068251</v>
      </c>
      <c r="D9048">
        <v>290</v>
      </c>
    </row>
    <row r="9049" spans="1:4" x14ac:dyDescent="0.25">
      <c r="A9049" t="str">
        <f>T("   844390")</f>
        <v xml:space="preserve">   844390</v>
      </c>
      <c r="B9049" t="str">
        <f>T("   Parties de machines et appareils à imprimer et de leur machines et appareils auxiliaires, n.d.a.")</f>
        <v xml:space="preserve">   Parties de machines et appareils à imprimer et de leur machines et appareils auxiliaires, n.d.a.</v>
      </c>
      <c r="C9049">
        <v>2552462</v>
      </c>
      <c r="D9049">
        <v>1520</v>
      </c>
    </row>
    <row r="9050" spans="1:4" x14ac:dyDescent="0.25">
      <c r="A9050" t="str">
        <f>T("   845011")</f>
        <v xml:space="preserve">   845011</v>
      </c>
      <c r="B9050" t="str">
        <f>T("   Machines à laver le linge entièrement automatiques, d'une capacité unitaire exprimée en poids de linge sec &lt;= 6 kg")</f>
        <v xml:space="preserve">   Machines à laver le linge entièrement automatiques, d'une capacité unitaire exprimée en poids de linge sec &lt;= 6 kg</v>
      </c>
      <c r="C9050">
        <v>4368605</v>
      </c>
      <c r="D9050">
        <v>3610</v>
      </c>
    </row>
    <row r="9051" spans="1:4" x14ac:dyDescent="0.25">
      <c r="A9051" t="str">
        <f>T("   845019")</f>
        <v xml:space="preserve">   845019</v>
      </c>
      <c r="B9051" t="str">
        <f>T("   Machines à laver le linge d'une capacité unitaire exprimée en poids de linge sec &lt;= 6 kg (à l'excl. des machines entièrement automatiques et des machines à laver le linge avec essoreuse centrifuge incorporée)")</f>
        <v xml:space="preserve">   Machines à laver le linge d'une capacité unitaire exprimée en poids de linge sec &lt;= 6 kg (à l'excl. des machines entièrement automatiques et des machines à laver le linge avec essoreuse centrifuge incorporée)</v>
      </c>
      <c r="C9051">
        <v>937019</v>
      </c>
      <c r="D9051">
        <v>548</v>
      </c>
    </row>
    <row r="9052" spans="1:4" x14ac:dyDescent="0.25">
      <c r="A9052" t="str">
        <f>T("   847010")</f>
        <v xml:space="preserve">   847010</v>
      </c>
      <c r="B9052" t="s">
        <v>432</v>
      </c>
      <c r="C9052">
        <v>562038</v>
      </c>
      <c r="D9052">
        <v>230</v>
      </c>
    </row>
    <row r="9053" spans="1:4" x14ac:dyDescent="0.25">
      <c r="A9053" t="str">
        <f>T("   847050")</f>
        <v xml:space="preserve">   847050</v>
      </c>
      <c r="B9053" t="str">
        <f>T("   Caisses enregistreuses comportant un dispositif de calcul")</f>
        <v xml:space="preserve">   Caisses enregistreuses comportant un dispositif de calcul</v>
      </c>
      <c r="C9053">
        <v>1097408</v>
      </c>
      <c r="D9053">
        <v>832</v>
      </c>
    </row>
    <row r="9054" spans="1:4" x14ac:dyDescent="0.25">
      <c r="A9054" t="str">
        <f>T("   847090")</f>
        <v xml:space="preserve">   847090</v>
      </c>
      <c r="B9054" t="str">
        <f>T("   Machines à affranchir, à établir les tickets et simil., avec dispositif de calcul (à l'excl. des machines comptables, des caisses enregistreuses et des distributeurs automatiques)")</f>
        <v xml:space="preserve">   Machines à affranchir, à établir les tickets et simil., avec dispositif de calcul (à l'excl. des machines comptables, des caisses enregistreuses et des distributeurs automatiques)</v>
      </c>
      <c r="C9054">
        <v>13146</v>
      </c>
      <c r="D9054">
        <v>8</v>
      </c>
    </row>
    <row r="9055" spans="1:4" x14ac:dyDescent="0.25">
      <c r="A9055" t="str">
        <f>T("   847130")</f>
        <v xml:space="preserve">   847130</v>
      </c>
      <c r="B9055" t="str">
        <f>T("   Machines automatiques de traitement de l'information numériques, portatives, d'un poids &lt;= 10 kg, comportant au moins une unité centrale de traitement, un clavier et un écran (à l'excl. des unités périphériques)")</f>
        <v xml:space="preserve">   Machines automatiques de traitement de l'information numériques, portatives, d'un poids &lt;= 10 kg, comportant au moins une unité centrale de traitement, un clavier et un écran (à l'excl. des unités périphériques)</v>
      </c>
      <c r="C9055">
        <v>5496945</v>
      </c>
      <c r="D9055">
        <v>20</v>
      </c>
    </row>
    <row r="9056" spans="1:4" x14ac:dyDescent="0.25">
      <c r="A9056" t="str">
        <f>T("   847290")</f>
        <v xml:space="preserve">   847290</v>
      </c>
      <c r="B9056" t="str">
        <f>T("   Machines et appareils de bureau, n.d.a.")</f>
        <v xml:space="preserve">   Machines et appareils de bureau, n.d.a.</v>
      </c>
      <c r="C9056">
        <v>1333106</v>
      </c>
      <c r="D9056">
        <v>764</v>
      </c>
    </row>
    <row r="9057" spans="1:4" x14ac:dyDescent="0.25">
      <c r="A9057" t="str">
        <f>T("   847330")</f>
        <v xml:space="preserve">   847330</v>
      </c>
      <c r="B9057" t="str">
        <f>T("   Parties et accessoires pour machines automatiques de traitement de l'information ou pour autres machines du n° 8471, n.d.a.")</f>
        <v xml:space="preserve">   Parties et accessoires pour machines automatiques de traitement de l'information ou pour autres machines du n° 8471, n.d.a.</v>
      </c>
      <c r="C9057">
        <v>1209563</v>
      </c>
      <c r="D9057">
        <v>600</v>
      </c>
    </row>
    <row r="9058" spans="1:4" x14ac:dyDescent="0.25">
      <c r="A9058" t="str">
        <f>T("   847350")</f>
        <v xml:space="preserve">   847350</v>
      </c>
      <c r="B9058" t="str">
        <f>T("   Parties et accessoires qui peuvent être utilisés indifféremment avec les machines ou appareils de plusieurs du n° 8469 à 8472, n.d.a.")</f>
        <v xml:space="preserve">   Parties et accessoires qui peuvent être utilisés indifféremment avec les machines ou appareils de plusieurs du n° 8469 à 8472, n.d.a.</v>
      </c>
      <c r="C9058">
        <v>14449761</v>
      </c>
      <c r="D9058">
        <v>2509</v>
      </c>
    </row>
    <row r="9059" spans="1:4" x14ac:dyDescent="0.25">
      <c r="A9059" t="str">
        <f>T("   848140")</f>
        <v xml:space="preserve">   848140</v>
      </c>
      <c r="B9059" t="str">
        <f>T("   Soupapes de trop-plein ou de sûreté")</f>
        <v xml:space="preserve">   Soupapes de trop-plein ou de sûreté</v>
      </c>
      <c r="C9059">
        <v>693328</v>
      </c>
      <c r="D9059">
        <v>324</v>
      </c>
    </row>
    <row r="9060" spans="1:4" x14ac:dyDescent="0.25">
      <c r="A9060" t="str">
        <f>T("   850211")</f>
        <v xml:space="preserve">   850211</v>
      </c>
      <c r="B9060" t="s">
        <v>444</v>
      </c>
      <c r="C9060">
        <v>350283</v>
      </c>
      <c r="D9060">
        <v>100</v>
      </c>
    </row>
    <row r="9061" spans="1:4" x14ac:dyDescent="0.25">
      <c r="A9061" t="str">
        <f>T("   850910")</f>
        <v xml:space="preserve">   850910</v>
      </c>
      <c r="B9061" t="str">
        <f>T("   Aspirateurs de poussières, y.c. les aspirateurs de matières sèches et de matières liquides, à moteur électrique incorporé, à usage domestique")</f>
        <v xml:space="preserve">   Aspirateurs de poussières, y.c. les aspirateurs de matières sèches et de matières liquides, à moteur électrique incorporé, à usage domestique</v>
      </c>
      <c r="C9061">
        <v>77353</v>
      </c>
      <c r="D9061">
        <v>20</v>
      </c>
    </row>
    <row r="9062" spans="1:4" x14ac:dyDescent="0.25">
      <c r="A9062" t="str">
        <f>T("   850940")</f>
        <v xml:space="preserve">   850940</v>
      </c>
      <c r="B9062" t="str">
        <f>T("   Broyeurs et mélangeurs pour aliments; presse-fruits et presse-légumes à moteur électrique incorporé, à usage domestique")</f>
        <v xml:space="preserve">   Broyeurs et mélangeurs pour aliments; presse-fruits et presse-légumes à moteur électrique incorporé, à usage domestique</v>
      </c>
      <c r="C9062">
        <v>2696532</v>
      </c>
      <c r="D9062">
        <v>1775</v>
      </c>
    </row>
    <row r="9063" spans="1:4" x14ac:dyDescent="0.25">
      <c r="A9063" t="str">
        <f>T("   851020")</f>
        <v xml:space="preserve">   851020</v>
      </c>
      <c r="B9063" t="str">
        <f>T("   Tondeuses à moteur électrique incorporé")</f>
        <v xml:space="preserve">   Tondeuses à moteur électrique incorporé</v>
      </c>
      <c r="C9063">
        <v>581452</v>
      </c>
      <c r="D9063">
        <v>203</v>
      </c>
    </row>
    <row r="9064" spans="1:4" x14ac:dyDescent="0.25">
      <c r="A9064" t="str">
        <f>T("   851430")</f>
        <v xml:space="preserve">   851430</v>
      </c>
      <c r="B9064" t="str">
        <f>T("   Fours électriques industriels ou de laboratoires (autres que les fours à résistance, à chauffage indirect, les fours fonctionnant par induction ou par perte diélectrique et les étuves)")</f>
        <v xml:space="preserve">   Fours électriques industriels ou de laboratoires (autres que les fours à résistance, à chauffage indirect, les fours fonctionnant par induction ou par perte diélectrique et les étuves)</v>
      </c>
      <c r="C9064">
        <v>3161314</v>
      </c>
      <c r="D9064">
        <v>1680</v>
      </c>
    </row>
    <row r="9065" spans="1:4" x14ac:dyDescent="0.25">
      <c r="A9065" t="str">
        <f>T("   851640")</f>
        <v xml:space="preserve">   851640</v>
      </c>
      <c r="B9065" t="str">
        <f>T("   Fers à repasser électriques")</f>
        <v xml:space="preserve">   Fers à repasser électriques</v>
      </c>
      <c r="C9065">
        <v>455919</v>
      </c>
      <c r="D9065">
        <v>100</v>
      </c>
    </row>
    <row r="9066" spans="1:4" x14ac:dyDescent="0.25">
      <c r="A9066" t="str">
        <f>T("   851650")</f>
        <v xml:space="preserve">   851650</v>
      </c>
      <c r="B9066" t="str">
        <f>T("   Fours à micro-ondes")</f>
        <v xml:space="preserve">   Fours à micro-ondes</v>
      </c>
      <c r="C9066">
        <v>2343095</v>
      </c>
      <c r="D9066">
        <v>1465</v>
      </c>
    </row>
    <row r="9067" spans="1:4" x14ac:dyDescent="0.25">
      <c r="A9067" t="str">
        <f>T("   851660")</f>
        <v xml:space="preserve">   851660</v>
      </c>
      <c r="B9067" t="str">
        <f>T("   Fours, cuisinières, réchauds, tables de cuisson, grils et rôtissoires électriques, pour usages domestiques (sauf fours destinés au chauffage des locaux et fours à micro-ondes)")</f>
        <v xml:space="preserve">   Fours, cuisinières, réchauds, tables de cuisson, grils et rôtissoires électriques, pour usages domestiques (sauf fours destinés au chauffage des locaux et fours à micro-ondes)</v>
      </c>
      <c r="C9067">
        <v>333628</v>
      </c>
      <c r="D9067">
        <v>96</v>
      </c>
    </row>
    <row r="9068" spans="1:4" x14ac:dyDescent="0.25">
      <c r="A9068" t="str">
        <f>T("   851671")</f>
        <v xml:space="preserve">   851671</v>
      </c>
      <c r="B9068" t="str">
        <f>T("   Appareils électriques pour la préparation du café ou du thé, pour usages domestiques")</f>
        <v xml:space="preserve">   Appareils électriques pour la préparation du café ou du thé, pour usages domestiques</v>
      </c>
      <c r="C9068">
        <v>289293</v>
      </c>
      <c r="D9068">
        <v>192</v>
      </c>
    </row>
    <row r="9069" spans="1:4" x14ac:dyDescent="0.25">
      <c r="A9069" t="str">
        <f>T("   851679")</f>
        <v xml:space="preserve">   851679</v>
      </c>
      <c r="B9069" t="s">
        <v>451</v>
      </c>
      <c r="C9069">
        <v>709025</v>
      </c>
      <c r="D9069">
        <v>1000</v>
      </c>
    </row>
    <row r="9070" spans="1:4" x14ac:dyDescent="0.25">
      <c r="A9070" t="str">
        <f>T("   851711")</f>
        <v xml:space="preserve">   851711</v>
      </c>
      <c r="B9070" t="str">
        <f>T("   Postes téléphoniques d'usagers pour la téléphonie par fil à combinés sans fil")</f>
        <v xml:space="preserve">   Postes téléphoniques d'usagers pour la téléphonie par fil à combinés sans fil</v>
      </c>
      <c r="C9070">
        <v>37869</v>
      </c>
      <c r="D9070">
        <v>7</v>
      </c>
    </row>
    <row r="9071" spans="1:4" x14ac:dyDescent="0.25">
      <c r="A9071" t="str">
        <f>T("   851719")</f>
        <v xml:space="preserve">   851719</v>
      </c>
      <c r="B9071" t="str">
        <f>T("   Postes téléphoniques d'usagers pour la téléphonie par fil; visiophones (sauf postes téléphoniques d'usagers par fil à combinés sans fil et parlophones)")</f>
        <v xml:space="preserve">   Postes téléphoniques d'usagers pour la téléphonie par fil; visiophones (sauf postes téléphoniques d'usagers par fil à combinés sans fil et parlophones)</v>
      </c>
      <c r="C9071">
        <v>810432</v>
      </c>
      <c r="D9071">
        <v>508</v>
      </c>
    </row>
    <row r="9072" spans="1:4" x14ac:dyDescent="0.25">
      <c r="A9072" t="str">
        <f>T("   851790")</f>
        <v xml:space="preserve">   851790</v>
      </c>
      <c r="B9072" t="s">
        <v>454</v>
      </c>
      <c r="C9072">
        <v>1725080466</v>
      </c>
      <c r="D9072">
        <v>19893</v>
      </c>
    </row>
    <row r="9073" spans="1:4" x14ac:dyDescent="0.25">
      <c r="A9073" t="str">
        <f>T("   851829")</f>
        <v xml:space="preserve">   851829</v>
      </c>
      <c r="B9073" t="str">
        <f>T("   Haut-parleurs sans enceinte")</f>
        <v xml:space="preserve">   Haut-parleurs sans enceinte</v>
      </c>
      <c r="C9073">
        <v>48379187</v>
      </c>
      <c r="D9073">
        <v>51246</v>
      </c>
    </row>
    <row r="9074" spans="1:4" x14ac:dyDescent="0.25">
      <c r="A9074" t="str">
        <f>T("   851999")</f>
        <v xml:space="preserve">   851999</v>
      </c>
      <c r="B9074" t="str">
        <f>T("   Appareils de reproduction du son, n'incorporant pas de dispositif d'enregistrement du son (autres que tourne-disques, électrophones commandés par l'introduction d'une pièce de monnaie ou d'un jeton, machines à dicter et lecteurs de cassettes)")</f>
        <v xml:space="preserve">   Appareils de reproduction du son, n'incorporant pas de dispositif d'enregistrement du son (autres que tourne-disques, électrophones commandés par l'introduction d'une pièce de monnaie ou d'un jeton, machines à dicter et lecteurs de cassettes)</v>
      </c>
      <c r="C9074">
        <v>7738384</v>
      </c>
      <c r="D9074">
        <v>9859</v>
      </c>
    </row>
    <row r="9075" spans="1:4" x14ac:dyDescent="0.25">
      <c r="A9075" t="str">
        <f>T("   852190")</f>
        <v xml:space="preserve">   852190</v>
      </c>
      <c r="B9075" t="s">
        <v>458</v>
      </c>
      <c r="C9075">
        <v>11136529</v>
      </c>
      <c r="D9075">
        <v>12687</v>
      </c>
    </row>
    <row r="9076" spans="1:4" x14ac:dyDescent="0.25">
      <c r="A9076" t="str">
        <f>T("   852540")</f>
        <v xml:space="preserve">   852540</v>
      </c>
      <c r="B9076" t="str">
        <f>T("   Appareils de prise de vues fixes vidéo et autres caméscopes; appareils photographiques numériques")</f>
        <v xml:space="preserve">   Appareils de prise de vues fixes vidéo et autres caméscopes; appareils photographiques numériques</v>
      </c>
      <c r="C9076">
        <v>849372</v>
      </c>
      <c r="D9076">
        <v>20</v>
      </c>
    </row>
    <row r="9077" spans="1:4" x14ac:dyDescent="0.25">
      <c r="A9077" t="str">
        <f>T("   852713")</f>
        <v xml:space="preserve">   852713</v>
      </c>
      <c r="B9077" t="str">
        <f>T("   RÉCEPTEURS DE RADIODIFFUSION POUVANT FONCTIONNER SANS SOURCE D'ÉNERGIE EXTÉRIEURE, COMBINÉS À UN APPAREIL D'ENREGISTREMENT OU DE REPRODUCTION DU SON (À L'EXCL. DES RADIOCASSETTES DE POCHE)")</f>
        <v xml:space="preserve">   RÉCEPTEURS DE RADIODIFFUSION POUVANT FONCTIONNER SANS SOURCE D'ÉNERGIE EXTÉRIEURE, COMBINÉS À UN APPAREIL D'ENREGISTREMENT OU DE REPRODUCTION DU SON (À L'EXCL. DES RADIOCASSETTES DE POCHE)</v>
      </c>
      <c r="C9077">
        <v>807847</v>
      </c>
      <c r="D9077">
        <v>471</v>
      </c>
    </row>
    <row r="9078" spans="1:4" x14ac:dyDescent="0.25">
      <c r="A9078" t="str">
        <f>T("   852719")</f>
        <v xml:space="preserve">   852719</v>
      </c>
      <c r="B9078" t="str">
        <f>T("   Récepteurs de radiodiffusion pouvant fonctionner sans source d'énergie extérieure, y.c. les appareils recevant également la radiotéléphonie ou la radiotélégraphie, non combinés à un appareil d'enregistrement et de reproduction du son")</f>
        <v xml:space="preserve">   Récepteurs de radiodiffusion pouvant fonctionner sans source d'énergie extérieure, y.c. les appareils recevant également la radiotéléphonie ou la radiotélégraphie, non combinés à un appareil d'enregistrement et de reproduction du son</v>
      </c>
      <c r="C9078">
        <v>499318</v>
      </c>
      <c r="D9078">
        <v>305</v>
      </c>
    </row>
    <row r="9079" spans="1:4" x14ac:dyDescent="0.25">
      <c r="A9079" t="str">
        <f>T("   852812")</f>
        <v xml:space="preserve">   852812</v>
      </c>
      <c r="B9079"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9079">
        <v>34950819</v>
      </c>
      <c r="D9079">
        <v>58670</v>
      </c>
    </row>
    <row r="9080" spans="1:4" x14ac:dyDescent="0.25">
      <c r="A9080" t="str">
        <f>T("   852910")</f>
        <v xml:space="preserve">   852910</v>
      </c>
      <c r="B9080" t="str">
        <f>T("   Antennes et réflecteurs d'antennes de tous types; parties reconnaissables comme étant utilisées conjointement avec ces articles, n.d.a.")</f>
        <v xml:space="preserve">   Antennes et réflecteurs d'antennes de tous types; parties reconnaissables comme étant utilisées conjointement avec ces articles, n.d.a.</v>
      </c>
      <c r="C9080">
        <v>349353635</v>
      </c>
      <c r="D9080">
        <v>12460</v>
      </c>
    </row>
    <row r="9081" spans="1:4" x14ac:dyDescent="0.25">
      <c r="A9081" t="str">
        <f>T("   870600")</f>
        <v xml:space="preserve">   870600</v>
      </c>
      <c r="B9081" t="s">
        <v>487</v>
      </c>
      <c r="C9081">
        <v>80000</v>
      </c>
      <c r="D9081">
        <v>19</v>
      </c>
    </row>
    <row r="9082" spans="1:4" x14ac:dyDescent="0.25">
      <c r="A9082" t="str">
        <f>T("   901180")</f>
        <v xml:space="preserve">   901180</v>
      </c>
      <c r="B9082" t="s">
        <v>495</v>
      </c>
      <c r="C9082">
        <v>1366148</v>
      </c>
      <c r="D9082">
        <v>285</v>
      </c>
    </row>
    <row r="9083" spans="1:4" x14ac:dyDescent="0.25">
      <c r="A9083" t="str">
        <f>T("   901720")</f>
        <v xml:space="preserve">   901720</v>
      </c>
      <c r="B9083" t="str">
        <f>T("   Instruments de dessin, de traçage et de calcul (sauf tables et machines à dessiner ainsi que calculatrices)")</f>
        <v xml:space="preserve">   Instruments de dessin, de traçage et de calcul (sauf tables et machines à dessiner ainsi que calculatrices)</v>
      </c>
      <c r="C9083">
        <v>133111743</v>
      </c>
      <c r="D9083">
        <v>159205</v>
      </c>
    </row>
    <row r="9084" spans="1:4" x14ac:dyDescent="0.25">
      <c r="A9084" t="str">
        <f>T("   901780")</f>
        <v xml:space="preserve">   901780</v>
      </c>
      <c r="B9084" t="str">
        <f>T("   Instruments de mesure de longueurs, pour emploi à la main, n.d.a.")</f>
        <v xml:space="preserve">   Instruments de mesure de longueurs, pour emploi à la main, n.d.a.</v>
      </c>
      <c r="C9084">
        <v>966144</v>
      </c>
      <c r="D9084">
        <v>1000</v>
      </c>
    </row>
    <row r="9085" spans="1:4" x14ac:dyDescent="0.25">
      <c r="A9085" t="str">
        <f>T("   902680")</f>
        <v xml:space="preserve">   902680</v>
      </c>
      <c r="B9085" t="str">
        <f>T("   Instruments et appareils pour la mesure et le contrôle des caractéristiques variables des liquides ou des gaz, n.d.a.")</f>
        <v xml:space="preserve">   Instruments et appareils pour la mesure et le contrôle des caractéristiques variables des liquides ou des gaz, n.d.a.</v>
      </c>
      <c r="C9085">
        <v>1251103</v>
      </c>
      <c r="D9085">
        <v>190</v>
      </c>
    </row>
    <row r="9086" spans="1:4" x14ac:dyDescent="0.25">
      <c r="A9086" t="str">
        <f>T("   903210")</f>
        <v xml:space="preserve">   903210</v>
      </c>
      <c r="B9086" t="str">
        <f>T("   Thermostats pour la régulation ou le contrôle automatiques")</f>
        <v xml:space="preserve">   Thermostats pour la régulation ou le contrôle automatiques</v>
      </c>
      <c r="C9086">
        <v>613473</v>
      </c>
      <c r="D9086">
        <v>286</v>
      </c>
    </row>
    <row r="9087" spans="1:4" x14ac:dyDescent="0.25">
      <c r="A9087" t="str">
        <f>T("   903300")</f>
        <v xml:space="preserve">   903300</v>
      </c>
      <c r="B9087" t="str">
        <f>T("   Parties et accessoires pour machines, appareils, instruments ou articles du chapitre 90, non dénommés ni compris dans le présent chapitre ou ailleurs")</f>
        <v xml:space="preserve">   Parties et accessoires pour machines, appareils, instruments ou articles du chapitre 90, non dénommés ni compris dans le présent chapitre ou ailleurs</v>
      </c>
      <c r="C9087">
        <v>551795</v>
      </c>
      <c r="D9087">
        <v>258</v>
      </c>
    </row>
    <row r="9088" spans="1:4" x14ac:dyDescent="0.25">
      <c r="A9088" t="str">
        <f>T("   940310")</f>
        <v xml:space="preserve">   940310</v>
      </c>
      <c r="B9088" t="str">
        <f>T("   Meubles de bureau en métal (sauf sièges)")</f>
        <v xml:space="preserve">   Meubles de bureau en métal (sauf sièges)</v>
      </c>
      <c r="C9088">
        <v>14480344</v>
      </c>
      <c r="D9088">
        <v>20830</v>
      </c>
    </row>
    <row r="9089" spans="1:4" x14ac:dyDescent="0.25">
      <c r="A9089" t="str">
        <f>T("   940360")</f>
        <v xml:space="preserve">   940360</v>
      </c>
      <c r="B9089" t="str">
        <f>T("   Meubles en bois (autres que pour bureaux, cuisines ou chambres à coucher et autres que sièges)")</f>
        <v xml:space="preserve">   Meubles en bois (autres que pour bureaux, cuisines ou chambres à coucher et autres que sièges)</v>
      </c>
      <c r="C9089">
        <v>43064</v>
      </c>
      <c r="D9089">
        <v>53</v>
      </c>
    </row>
    <row r="9090" spans="1:4" x14ac:dyDescent="0.25">
      <c r="A9090" t="str">
        <f>T("   940380")</f>
        <v xml:space="preserve">   940380</v>
      </c>
      <c r="B9090" t="str">
        <f>T("   Meubles en rotin, osier, bambou ou autres matières (sauf métal, bois et matières plastiques)")</f>
        <v xml:space="preserve">   Meubles en rotin, osier, bambou ou autres matières (sauf métal, bois et matières plastiques)</v>
      </c>
      <c r="C9090">
        <v>470265</v>
      </c>
      <c r="D9090">
        <v>3452</v>
      </c>
    </row>
    <row r="9091" spans="1:4" x14ac:dyDescent="0.25">
      <c r="A9091" t="str">
        <f>T("   940510")</f>
        <v xml:space="preserve">   940510</v>
      </c>
      <c r="B9091" t="str">
        <f>T("   Lustres et autres appareils d'éclairage électrique à suspendre ou à fixer au plafond ou au mur (sauf pour l'éclairage des espaces et voies publiques)")</f>
        <v xml:space="preserve">   Lustres et autres appareils d'éclairage électrique à suspendre ou à fixer au plafond ou au mur (sauf pour l'éclairage des espaces et voies publiques)</v>
      </c>
      <c r="C9091">
        <v>1291848</v>
      </c>
      <c r="D9091">
        <v>500</v>
      </c>
    </row>
    <row r="9092" spans="1:4" x14ac:dyDescent="0.25">
      <c r="A9092" t="str">
        <f>T("   960810")</f>
        <v xml:space="preserve">   960810</v>
      </c>
      <c r="B9092" t="str">
        <f>T("   Stylos et crayons à bille")</f>
        <v xml:space="preserve">   Stylos et crayons à bille</v>
      </c>
      <c r="C9092">
        <v>14167415</v>
      </c>
      <c r="D9092">
        <v>12698</v>
      </c>
    </row>
    <row r="9093" spans="1:4" x14ac:dyDescent="0.25">
      <c r="A9093" t="str">
        <f>T("   960820")</f>
        <v xml:space="preserve">   960820</v>
      </c>
      <c r="B9093" t="str">
        <f>T("   Stylos et marqueurs à mèche feutre ou à autres pointes poreuses")</f>
        <v xml:space="preserve">   Stylos et marqueurs à mèche feutre ou à autres pointes poreuses</v>
      </c>
      <c r="C9093">
        <v>8148960</v>
      </c>
      <c r="D9093">
        <v>3618</v>
      </c>
    </row>
    <row r="9094" spans="1:4" x14ac:dyDescent="0.25">
      <c r="A9094" t="str">
        <f>T("   960831")</f>
        <v xml:space="preserve">   960831</v>
      </c>
      <c r="B9094" t="str">
        <f>T("   Stylos à plume et autres stylos, à dessiner à l'encre de Chine")</f>
        <v xml:space="preserve">   Stylos à plume et autres stylos, à dessiner à l'encre de Chine</v>
      </c>
      <c r="C9094">
        <v>250317</v>
      </c>
      <c r="D9094">
        <v>450</v>
      </c>
    </row>
    <row r="9095" spans="1:4" x14ac:dyDescent="0.25">
      <c r="A9095" t="str">
        <f>T("   960899")</f>
        <v xml:space="preserve">   960899</v>
      </c>
      <c r="B9095" t="str">
        <f>T("   PARTIES DE STYLOS ET CRAYONS À BILLE, STYLOS ET MARQUEURS À MÈCHE FEUTRE OU À AUTRES POINTES POREUSES, STYLOS ET PORTE-MINE, N.D.A.; PORTE-PLUME, PORTE-CRAYON ET ARTICLES SIMIL., STYLETS POUR DUPLICATEURS")</f>
        <v xml:space="preserve">   PARTIES DE STYLOS ET CRAYONS À BILLE, STYLOS ET MARQUEURS À MÈCHE FEUTRE OU À AUTRES POINTES POREUSES, STYLOS ET PORTE-MINE, N.D.A.; PORTE-PLUME, PORTE-CRAYON ET ARTICLES SIMIL., STYLETS POUR DUPLICATEURS</v>
      </c>
      <c r="C9095">
        <v>3830014</v>
      </c>
      <c r="D9095">
        <v>5005</v>
      </c>
    </row>
    <row r="9096" spans="1:4" x14ac:dyDescent="0.25">
      <c r="A9096" t="str">
        <f>T("   960910")</f>
        <v xml:space="preserve">   960910</v>
      </c>
      <c r="B9096" t="str">
        <f>T("   Crayons à gaine")</f>
        <v xml:space="preserve">   Crayons à gaine</v>
      </c>
      <c r="C9096">
        <v>7638046</v>
      </c>
      <c r="D9096">
        <v>10355</v>
      </c>
    </row>
    <row r="9097" spans="1:4" x14ac:dyDescent="0.25">
      <c r="A9097" t="str">
        <f>T("   960990")</f>
        <v xml:space="preserve">   960990</v>
      </c>
      <c r="B9097" t="str">
        <f>T("   Crayons (sauf crayons à gaine), pastels, fusains, craies à écrire ou à dessiner et craies de tailleurs")</f>
        <v xml:space="preserve">   Crayons (sauf crayons à gaine), pastels, fusains, craies à écrire ou à dessiner et craies de tailleurs</v>
      </c>
      <c r="C9097">
        <v>78717876</v>
      </c>
      <c r="D9097">
        <v>321525</v>
      </c>
    </row>
    <row r="9098" spans="1:4" x14ac:dyDescent="0.25">
      <c r="A9098" t="str">
        <f>T("   961000")</f>
        <v xml:space="preserve">   961000</v>
      </c>
      <c r="B9098" t="str">
        <f>T("   Ardoises et tableaux pour l'écriture ou le dessin, même encadrés")</f>
        <v xml:space="preserve">   Ardoises et tableaux pour l'écriture ou le dessin, même encadrés</v>
      </c>
      <c r="C9098">
        <v>2571890</v>
      </c>
      <c r="D9098">
        <v>4180</v>
      </c>
    </row>
    <row r="9099" spans="1:4" x14ac:dyDescent="0.25">
      <c r="A9099" t="str">
        <f>T("   961220")</f>
        <v xml:space="preserve">   961220</v>
      </c>
      <c r="B9099" t="str">
        <f>T("   Tampons encreurs, même imprégnés, avec ou sans boîte")</f>
        <v xml:space="preserve">   Tampons encreurs, même imprégnés, avec ou sans boîte</v>
      </c>
      <c r="C9099">
        <v>3388856</v>
      </c>
      <c r="D9099">
        <v>4736</v>
      </c>
    </row>
    <row r="9100" spans="1:4" x14ac:dyDescent="0.25">
      <c r="A9100" t="str">
        <f>T("SH")</f>
        <v>SH</v>
      </c>
      <c r="B9100" t="str">
        <f>T("Sainte-Hélène")</f>
        <v>Sainte-Hélène</v>
      </c>
    </row>
    <row r="9101" spans="1:4" x14ac:dyDescent="0.25">
      <c r="A9101" t="str">
        <f>T("   ZZ_Total_Produit_SH6")</f>
        <v xml:space="preserve">   ZZ_Total_Produit_SH6</v>
      </c>
      <c r="B9101" t="str">
        <f>T("   ZZ_Total_Produit_SH6")</f>
        <v xml:space="preserve">   ZZ_Total_Produit_SH6</v>
      </c>
      <c r="C9101">
        <v>8325000</v>
      </c>
      <c r="D9101">
        <v>15000</v>
      </c>
    </row>
    <row r="9102" spans="1:4" x14ac:dyDescent="0.25">
      <c r="A9102" t="str">
        <f>T("   630900")</f>
        <v xml:space="preserve">   630900</v>
      </c>
      <c r="B9102" t="s">
        <v>280</v>
      </c>
      <c r="C9102">
        <v>8325000</v>
      </c>
      <c r="D9102">
        <v>15000</v>
      </c>
    </row>
    <row r="9103" spans="1:4" x14ac:dyDescent="0.25">
      <c r="A9103" t="str">
        <f>T("SI")</f>
        <v>SI</v>
      </c>
      <c r="B9103" t="str">
        <f>T("Slovénie")</f>
        <v>Slovénie</v>
      </c>
    </row>
    <row r="9104" spans="1:4" x14ac:dyDescent="0.25">
      <c r="A9104" t="str">
        <f>T("   ZZ_Total_Produit_SH6")</f>
        <v xml:space="preserve">   ZZ_Total_Produit_SH6</v>
      </c>
      <c r="B9104" t="str">
        <f>T("   ZZ_Total_Produit_SH6")</f>
        <v xml:space="preserve">   ZZ_Total_Produit_SH6</v>
      </c>
      <c r="C9104">
        <v>10684894</v>
      </c>
      <c r="D9104">
        <v>20761</v>
      </c>
    </row>
    <row r="9105" spans="1:4" x14ac:dyDescent="0.25">
      <c r="A9105" t="str">
        <f>T("   441890")</f>
        <v xml:space="preserve">   441890</v>
      </c>
      <c r="B9105" t="s">
        <v>182</v>
      </c>
      <c r="C9105">
        <v>10075664</v>
      </c>
      <c r="D9105">
        <v>20760</v>
      </c>
    </row>
    <row r="9106" spans="1:4" x14ac:dyDescent="0.25">
      <c r="A9106" t="str">
        <f>T("   851780")</f>
        <v xml:space="preserve">   851780</v>
      </c>
      <c r="B9106" t="s">
        <v>453</v>
      </c>
      <c r="C9106">
        <v>609230</v>
      </c>
      <c r="D9106">
        <v>1</v>
      </c>
    </row>
    <row r="9107" spans="1:4" x14ac:dyDescent="0.25">
      <c r="A9107" t="str">
        <f>T("SK")</f>
        <v>SK</v>
      </c>
      <c r="B9107" t="str">
        <f>T("Slovaquie")</f>
        <v>Slovaquie</v>
      </c>
    </row>
    <row r="9108" spans="1:4" x14ac:dyDescent="0.25">
      <c r="A9108" t="str">
        <f>T("   ZZ_Total_Produit_SH6")</f>
        <v xml:space="preserve">   ZZ_Total_Produit_SH6</v>
      </c>
      <c r="B9108" t="str">
        <f>T("   ZZ_Total_Produit_SH6")</f>
        <v xml:space="preserve">   ZZ_Total_Produit_SH6</v>
      </c>
      <c r="C9108">
        <v>32431367</v>
      </c>
      <c r="D9108">
        <v>39800</v>
      </c>
    </row>
    <row r="9109" spans="1:4" x14ac:dyDescent="0.25">
      <c r="A9109" t="str">
        <f>T("   630900")</f>
        <v xml:space="preserve">   630900</v>
      </c>
      <c r="B9109" t="s">
        <v>280</v>
      </c>
      <c r="C9109">
        <v>22600494</v>
      </c>
      <c r="D9109">
        <v>37000</v>
      </c>
    </row>
    <row r="9110" spans="1:4" x14ac:dyDescent="0.25">
      <c r="A9110" t="str">
        <f>T("   853939")</f>
        <v xml:space="preserve">   853939</v>
      </c>
      <c r="B9110" t="str">
        <f>T("   Lampes et tubes à décharge (autres que fluorescents, à cathode chaude, à vapeur de mercure ou de sodium, à halogénure métallique et qu'à rayons ultraviolets)")</f>
        <v xml:space="preserve">   Lampes et tubes à décharge (autres que fluorescents, à cathode chaude, à vapeur de mercure ou de sodium, à halogénure métallique et qu'à rayons ultraviolets)</v>
      </c>
      <c r="C9110">
        <v>9830873</v>
      </c>
      <c r="D9110">
        <v>2800</v>
      </c>
    </row>
    <row r="9111" spans="1:4" x14ac:dyDescent="0.25">
      <c r="A9111" t="str">
        <f>T("SM")</f>
        <v>SM</v>
      </c>
      <c r="B9111" t="str">
        <f>T("Saint-Marin")</f>
        <v>Saint-Marin</v>
      </c>
    </row>
    <row r="9112" spans="1:4" x14ac:dyDescent="0.25">
      <c r="A9112" t="str">
        <f>T("   ZZ_Total_Produit_SH6")</f>
        <v xml:space="preserve">   ZZ_Total_Produit_SH6</v>
      </c>
      <c r="B9112" t="str">
        <f>T("   ZZ_Total_Produit_SH6")</f>
        <v xml:space="preserve">   ZZ_Total_Produit_SH6</v>
      </c>
      <c r="C9112">
        <v>626616</v>
      </c>
      <c r="D9112">
        <v>13</v>
      </c>
    </row>
    <row r="9113" spans="1:4" x14ac:dyDescent="0.25">
      <c r="A9113" t="str">
        <f>T("   843149")</f>
        <v xml:space="preserve">   843149</v>
      </c>
      <c r="B9113" t="str">
        <f>T("   Parties de machines et appareils du n° 8426, 8429 ou 8430, n.d.a.")</f>
        <v xml:space="preserve">   Parties de machines et appareils du n° 8426, 8429 ou 8430, n.d.a.</v>
      </c>
      <c r="C9113">
        <v>626616</v>
      </c>
      <c r="D9113">
        <v>13</v>
      </c>
    </row>
    <row r="9114" spans="1:4" x14ac:dyDescent="0.25">
      <c r="A9114" t="str">
        <f>T("SN")</f>
        <v>SN</v>
      </c>
      <c r="B9114" t="str">
        <f>T("Sénégal")</f>
        <v>Sénégal</v>
      </c>
    </row>
    <row r="9115" spans="1:4" x14ac:dyDescent="0.25">
      <c r="A9115" t="str">
        <f>T("   ZZ_Total_Produit_SH6")</f>
        <v xml:space="preserve">   ZZ_Total_Produit_SH6</v>
      </c>
      <c r="B9115" t="str">
        <f>T("   ZZ_Total_Produit_SH6")</f>
        <v xml:space="preserve">   ZZ_Total_Produit_SH6</v>
      </c>
      <c r="C9115">
        <v>7809166763</v>
      </c>
      <c r="D9115">
        <v>92486617</v>
      </c>
    </row>
    <row r="9116" spans="1:4" x14ac:dyDescent="0.25">
      <c r="A9116" t="str">
        <f>T("   030379")</f>
        <v xml:space="preserve">   030379</v>
      </c>
      <c r="B9116" t="s">
        <v>15</v>
      </c>
      <c r="C9116">
        <v>413474012</v>
      </c>
      <c r="D9116">
        <v>1843694</v>
      </c>
    </row>
    <row r="9117" spans="1:4" x14ac:dyDescent="0.25">
      <c r="A9117" t="str">
        <f>T("   030559")</f>
        <v xml:space="preserve">   030559</v>
      </c>
      <c r="B9117" t="str">
        <f>T("   POISSONS SÉCHÉS, MÊME SALÉS, MAIS NON-FUMÉS (À L'EXCL. DES MORUES ET DE TOUS LES FILETS DE POISSONS)")</f>
        <v xml:space="preserve">   POISSONS SÉCHÉS, MÊME SALÉS, MAIS NON-FUMÉS (À L'EXCL. DES MORUES ET DE TOUS LES FILETS DE POISSONS)</v>
      </c>
      <c r="C9117">
        <v>200000</v>
      </c>
      <c r="D9117">
        <v>470</v>
      </c>
    </row>
    <row r="9118" spans="1:4" x14ac:dyDescent="0.25">
      <c r="A9118" t="str">
        <f>T("   170199")</f>
        <v xml:space="preserve">   170199</v>
      </c>
      <c r="B9118" t="str">
        <f>T("   Sucres de canne ou de betterave et saccharose chimiquement pur, à l'état solide (à l'excl. des sucres bruts et des sucres de canne ou de betterave additionnés d'aromatisants ou de colorants)")</f>
        <v xml:space="preserve">   Sucres de canne ou de betterave et saccharose chimiquement pur, à l'état solide (à l'excl. des sucres bruts et des sucres de canne ou de betterave additionnés d'aromatisants ou de colorants)</v>
      </c>
      <c r="C9118">
        <v>281520</v>
      </c>
      <c r="D9118">
        <v>2346</v>
      </c>
    </row>
    <row r="9119" spans="1:4" x14ac:dyDescent="0.25">
      <c r="A9119" t="str">
        <f>T("   180690")</f>
        <v xml:space="preserve">   180690</v>
      </c>
      <c r="B9119" t="str">
        <f>T("   Chocolat et autres préparations alimentaires contenant du cacao, en récipients ou en emballages immédiats d'un contenu &lt;= 2 kg (à l'excl. de la poudre de cacao et des produits présentés en tablettes, barres ou bâtons)")</f>
        <v xml:space="preserve">   Chocolat et autres préparations alimentaires contenant du cacao, en récipients ou en emballages immédiats d'un contenu &lt;= 2 kg (à l'excl. de la poudre de cacao et des produits présentés en tablettes, barres ou bâtons)</v>
      </c>
      <c r="C9119">
        <v>33841104</v>
      </c>
      <c r="D9119">
        <v>91670</v>
      </c>
    </row>
    <row r="9120" spans="1:4" x14ac:dyDescent="0.25">
      <c r="A9120" t="str">
        <f>T("   190190")</f>
        <v xml:space="preserve">   190190</v>
      </c>
      <c r="B9120" t="s">
        <v>48</v>
      </c>
      <c r="C9120">
        <v>3781740</v>
      </c>
      <c r="D9120">
        <v>12500</v>
      </c>
    </row>
    <row r="9121" spans="1:4" x14ac:dyDescent="0.25">
      <c r="A9121" t="str">
        <f>T("   190531")</f>
        <v xml:space="preserve">   190531</v>
      </c>
      <c r="B9121" t="str">
        <f>T("   Biscuits additionnés d'édulcorants")</f>
        <v xml:space="preserve">   Biscuits additionnés d'édulcorants</v>
      </c>
      <c r="C9121">
        <v>7036369</v>
      </c>
      <c r="D9121">
        <v>12300</v>
      </c>
    </row>
    <row r="9122" spans="1:4" x14ac:dyDescent="0.25">
      <c r="A9122" t="str">
        <f>T("   200290")</f>
        <v xml:space="preserve">   200290</v>
      </c>
      <c r="B9122" t="str">
        <f>T("   Tomates, préparées ou conservées autrement qu'au vinaigre ou à l'acide acétique (à l'excl. des tomates entières ou en morceaux)")</f>
        <v xml:space="preserve">   Tomates, préparées ou conservées autrement qu'au vinaigre ou à l'acide acétique (à l'excl. des tomates entières ou en morceaux)</v>
      </c>
      <c r="C9122">
        <v>6300000</v>
      </c>
      <c r="D9122">
        <v>20400</v>
      </c>
    </row>
    <row r="9123" spans="1:4" x14ac:dyDescent="0.25">
      <c r="A9123" t="str">
        <f>T("   210320")</f>
        <v xml:space="preserve">   210320</v>
      </c>
      <c r="B9123" t="str">
        <f>T("   Tomato ketchup et autres sauces tomates")</f>
        <v xml:space="preserve">   Tomato ketchup et autres sauces tomates</v>
      </c>
      <c r="C9123">
        <v>150000</v>
      </c>
      <c r="D9123">
        <v>408</v>
      </c>
    </row>
    <row r="9124" spans="1:4" x14ac:dyDescent="0.25">
      <c r="A9124" t="str">
        <f>T("   210330")</f>
        <v xml:space="preserve">   210330</v>
      </c>
      <c r="B9124" t="str">
        <f>T("   Farine de moutarde et moutarde préparée")</f>
        <v xml:space="preserve">   Farine de moutarde et moutarde préparée</v>
      </c>
      <c r="C9124">
        <v>40770273</v>
      </c>
      <c r="D9124">
        <v>121269</v>
      </c>
    </row>
    <row r="9125" spans="1:4" x14ac:dyDescent="0.25">
      <c r="A9125" t="str">
        <f>T("   210410")</f>
        <v xml:space="preserve">   210410</v>
      </c>
      <c r="B9125" t="str">
        <f>T("   Préparations pour soupes, potages ou bouillons; soupes, potages ou bouillons préparés")</f>
        <v xml:space="preserve">   Préparations pour soupes, potages ou bouillons; soupes, potages ou bouillons préparés</v>
      </c>
      <c r="C9125">
        <v>488799541</v>
      </c>
      <c r="D9125">
        <v>303660</v>
      </c>
    </row>
    <row r="9126" spans="1:4" x14ac:dyDescent="0.25">
      <c r="A9126" t="str">
        <f>T("   210690")</f>
        <v xml:space="preserve">   210690</v>
      </c>
      <c r="B9126" t="str">
        <f>T("   Préparations alimentaires, n.d.a.")</f>
        <v xml:space="preserve">   Préparations alimentaires, n.d.a.</v>
      </c>
      <c r="C9126">
        <v>888946</v>
      </c>
      <c r="D9126">
        <v>200</v>
      </c>
    </row>
    <row r="9127" spans="1:4" x14ac:dyDescent="0.25">
      <c r="A9127" t="str">
        <f>T("   230120")</f>
        <v xml:space="preserve">   230120</v>
      </c>
      <c r="B9127" t="str">
        <f>T("   Farines, poudres et agglomérés sous forme de pellets, de poissons ou de crustacés, de mollusques ou d'autres invertébrés aquatiques, impropres à l'alimentation humaine")</f>
        <v xml:space="preserve">   Farines, poudres et agglomérés sous forme de pellets, de poissons ou de crustacés, de mollusques ou d'autres invertébrés aquatiques, impropres à l'alimentation humaine</v>
      </c>
      <c r="C9127">
        <v>116011356</v>
      </c>
      <c r="D9127">
        <v>1115500</v>
      </c>
    </row>
    <row r="9128" spans="1:4" x14ac:dyDescent="0.25">
      <c r="A9128" t="str">
        <f>T("   230500")</f>
        <v xml:space="preserve">   230500</v>
      </c>
      <c r="B9128" t="str">
        <f>T("   Tourteaux et autres résidus solides, même broyés ou agglomérés sous forme de pellets, de l'extraction de l'huile d'arachide")</f>
        <v xml:space="preserve">   Tourteaux et autres résidus solides, même broyés ou agglomérés sous forme de pellets, de l'extraction de l'huile d'arachide</v>
      </c>
      <c r="C9128">
        <v>73291066</v>
      </c>
      <c r="D9128">
        <v>300000</v>
      </c>
    </row>
    <row r="9129" spans="1:4" x14ac:dyDescent="0.25">
      <c r="A9129" t="str">
        <f>T("   230990")</f>
        <v xml:space="preserve">   230990</v>
      </c>
      <c r="B9129" t="str">
        <f>T("   Préparations des types utilisés pour l'alimentation des animaux (à l'excl. des aliments pour chiens ou chats conditionnés pour la vente au détail)")</f>
        <v xml:space="preserve">   Préparations des types utilisés pour l'alimentation des animaux (à l'excl. des aliments pour chiens ou chats conditionnés pour la vente au détail)</v>
      </c>
      <c r="C9129">
        <v>11917838</v>
      </c>
      <c r="D9129">
        <v>192000</v>
      </c>
    </row>
    <row r="9130" spans="1:4" x14ac:dyDescent="0.25">
      <c r="A9130" t="str">
        <f>T("   250100")</f>
        <v xml:space="preserve">   250100</v>
      </c>
      <c r="B9130" t="s">
        <v>60</v>
      </c>
      <c r="C9130">
        <v>2171696594</v>
      </c>
      <c r="D9130">
        <v>37216500</v>
      </c>
    </row>
    <row r="9131" spans="1:4" x14ac:dyDescent="0.25">
      <c r="A9131" t="str">
        <f>T("   252329")</f>
        <v xml:space="preserve">   252329</v>
      </c>
      <c r="B9131" t="str">
        <f>T("   Ciment Portland normal ou modéré (à l'excl. des ciments Portland blancs, même colorés artificiellement)")</f>
        <v xml:space="preserve">   Ciment Portland normal ou modéré (à l'excl. des ciments Portland blancs, même colorés artificiellement)</v>
      </c>
      <c r="C9131">
        <v>2607601861</v>
      </c>
      <c r="D9131">
        <v>49442440</v>
      </c>
    </row>
    <row r="9132" spans="1:4" x14ac:dyDescent="0.25">
      <c r="A9132" t="str">
        <f>T("   252390")</f>
        <v xml:space="preserve">   252390</v>
      </c>
      <c r="B9132" t="str">
        <f>T("   Ciments, même colorés (à l'excl. des ciments Portland et des ciments alumineux)")</f>
        <v xml:space="preserve">   Ciments, même colorés (à l'excl. des ciments Portland et des ciments alumineux)</v>
      </c>
      <c r="C9132">
        <v>29083084</v>
      </c>
      <c r="D9132">
        <v>500000</v>
      </c>
    </row>
    <row r="9133" spans="1:4" x14ac:dyDescent="0.25">
      <c r="A9133" t="str">
        <f>T("   271210")</f>
        <v xml:space="preserve">   271210</v>
      </c>
      <c r="B9133" t="str">
        <f>T("   Vaseline")</f>
        <v xml:space="preserve">   Vaseline</v>
      </c>
      <c r="C9133">
        <v>489393</v>
      </c>
      <c r="D9133">
        <v>2107</v>
      </c>
    </row>
    <row r="9134" spans="1:4" x14ac:dyDescent="0.25">
      <c r="A9134" t="str">
        <f>T("   282890")</f>
        <v xml:space="preserve">   282890</v>
      </c>
      <c r="B9134" t="str">
        <f>T("   Hypochlorites, chlorites et hypobromites (à l'excl. des hypochlorites de calcium)")</f>
        <v xml:space="preserve">   Hypochlorites, chlorites et hypobromites (à l'excl. des hypochlorites de calcium)</v>
      </c>
      <c r="C9134">
        <v>38704843</v>
      </c>
      <c r="D9134">
        <v>72985</v>
      </c>
    </row>
    <row r="9135" spans="1:4" x14ac:dyDescent="0.25">
      <c r="A9135" t="str">
        <f>T("   284161")</f>
        <v xml:space="preserve">   284161</v>
      </c>
      <c r="B9135" t="str">
        <f>T("   PERMANGANATE DE POTASSIUM")</f>
        <v xml:space="preserve">   PERMANGANATE DE POTASSIUM</v>
      </c>
      <c r="C9135">
        <v>579869</v>
      </c>
      <c r="D9135">
        <v>130</v>
      </c>
    </row>
    <row r="9136" spans="1:4" x14ac:dyDescent="0.25">
      <c r="A9136" t="str">
        <f>T("   300410")</f>
        <v xml:space="preserve">   300410</v>
      </c>
      <c r="B9136" t="s">
        <v>74</v>
      </c>
      <c r="C9136">
        <v>194973615</v>
      </c>
      <c r="D9136">
        <v>13385</v>
      </c>
    </row>
    <row r="9137" spans="1:4" x14ac:dyDescent="0.25">
      <c r="A9137" t="str">
        <f>T("   300490")</f>
        <v xml:space="preserve">   300490</v>
      </c>
      <c r="B9137" t="s">
        <v>78</v>
      </c>
      <c r="C9137">
        <v>477145323</v>
      </c>
      <c r="D9137">
        <v>34225</v>
      </c>
    </row>
    <row r="9138" spans="1:4" x14ac:dyDescent="0.25">
      <c r="A9138" t="str">
        <f>T("   330119")</f>
        <v xml:space="preserve">   330119</v>
      </c>
      <c r="B9138" t="str">
        <f>T("   HUILES ESSENTIELLES D'AGRUMES, DÉTERPÉNÉES OU NON, Y.C. CELLES DITES 'CONCRÈTES' OU 'ABSOLUES' (À L'EXCL. DES HUILES ESSENTIELLES D'ORANGE, DE CITRONOU DE LIME)")</f>
        <v xml:space="preserve">   HUILES ESSENTIELLES D'AGRUMES, DÉTERPÉNÉES OU NON, Y.C. CELLES DITES 'CONCRÈTES' OU 'ABSOLUES' (À L'EXCL. DES HUILES ESSENTIELLES D'ORANGE, DE CITRONOU DE LIME)</v>
      </c>
      <c r="C9138">
        <v>105154</v>
      </c>
      <c r="D9138">
        <v>25</v>
      </c>
    </row>
    <row r="9139" spans="1:4" x14ac:dyDescent="0.25">
      <c r="A9139" t="str">
        <f>T("   330129")</f>
        <v xml:space="preserve">   330129</v>
      </c>
      <c r="B9139" t="str">
        <f>T("   HUILES ESSENTIELLES, DÉTERPÉNÉES OU NON, Y.C. CELLES DITES 'CONCRÈTES' OU 'ABSOLUES' (À L'EXCL. DES HUILES ESSENTIELLES D'AGRUMES OU DE MENTHES)")</f>
        <v xml:space="preserve">   HUILES ESSENTIELLES, DÉTERPÉNÉES OU NON, Y.C. CELLES DITES 'CONCRÈTES' OU 'ABSOLUES' (À L'EXCL. DES HUILES ESSENTIELLES D'AGRUMES OU DE MENTHES)</v>
      </c>
      <c r="C9139">
        <v>110858</v>
      </c>
      <c r="D9139">
        <v>25</v>
      </c>
    </row>
    <row r="9140" spans="1:4" x14ac:dyDescent="0.25">
      <c r="A9140" t="str">
        <f>T("   330210")</f>
        <v xml:space="preserve">   330210</v>
      </c>
      <c r="B9140" t="str">
        <f>T("   Mélanges de substances odoriférantes et mélanges, y.c. les solutions alcooliques, à base d'une ou de plusieurs de ces substances, des types utilisés comme matières de base pour les industries des produits alimentaires et des boissons")</f>
        <v xml:space="preserve">   Mélanges de substances odoriférantes et mélanges, y.c. les solutions alcooliques, à base d'une ou de plusieurs de ces substances, des types utilisés comme matières de base pour les industries des produits alimentaires et des boissons</v>
      </c>
      <c r="C9140">
        <v>18834803</v>
      </c>
      <c r="D9140">
        <v>77175</v>
      </c>
    </row>
    <row r="9141" spans="1:4" x14ac:dyDescent="0.25">
      <c r="A9141" t="str">
        <f>T("   330290")</f>
        <v xml:space="preserve">   330290</v>
      </c>
      <c r="B9141" t="s">
        <v>99</v>
      </c>
      <c r="C9141">
        <v>2982123</v>
      </c>
      <c r="D9141">
        <v>4324</v>
      </c>
    </row>
    <row r="9142" spans="1:4" x14ac:dyDescent="0.25">
      <c r="A9142" t="str">
        <f>T("   330300")</f>
        <v xml:space="preserve">   330300</v>
      </c>
      <c r="B9142" t="str">
        <f>T("   Parfums et eaux de toilette (à l'excl. des préparations pour l'après-rasage [lotions after-shave] et des désodorisants corporels)")</f>
        <v xml:space="preserve">   Parfums et eaux de toilette (à l'excl. des préparations pour l'après-rasage [lotions after-shave] et des désodorisants corporels)</v>
      </c>
      <c r="C9142">
        <v>5339508</v>
      </c>
      <c r="D9142">
        <v>12346</v>
      </c>
    </row>
    <row r="9143" spans="1:4" x14ac:dyDescent="0.25">
      <c r="A9143" t="str">
        <f>T("   330491")</f>
        <v xml:space="preserve">   330491</v>
      </c>
      <c r="B9143" t="str">
        <f>T("   Poudres pour le maquillage ou l'entretien ou les soins de la peau, y.c. les poudres pour bébés et les poudres compactes (à l'excl. des médicaments)")</f>
        <v xml:space="preserve">   Poudres pour le maquillage ou l'entretien ou les soins de la peau, y.c. les poudres pour bébés et les poudres compactes (à l'excl. des médicaments)</v>
      </c>
      <c r="C9143">
        <v>1612669</v>
      </c>
      <c r="D9143">
        <v>9608</v>
      </c>
    </row>
    <row r="9144" spans="1:4" x14ac:dyDescent="0.25">
      <c r="A9144" t="str">
        <f>T("   330499")</f>
        <v xml:space="preserve">   330499</v>
      </c>
      <c r="B9144" t="s">
        <v>100</v>
      </c>
      <c r="C9144">
        <v>7825123</v>
      </c>
      <c r="D9144">
        <v>40961</v>
      </c>
    </row>
    <row r="9145" spans="1:4" x14ac:dyDescent="0.25">
      <c r="A9145" t="str">
        <f>T("   330510")</f>
        <v xml:space="preserve">   330510</v>
      </c>
      <c r="B9145" t="str">
        <f>T("   Shampooings")</f>
        <v xml:space="preserve">   Shampooings</v>
      </c>
      <c r="C9145">
        <v>4493452</v>
      </c>
      <c r="D9145">
        <v>4062</v>
      </c>
    </row>
    <row r="9146" spans="1:4" x14ac:dyDescent="0.25">
      <c r="A9146" t="str">
        <f>T("   330590")</f>
        <v xml:space="preserve">   330590</v>
      </c>
      <c r="B9146" t="str">
        <f>T("   PRÉPARATIONS CAPILLAIRES (À L'EXCL. DES SHAMPOOINGS, DES LAQUES POUR CHEVEUX ET DES PRÉPARATIONS POUR L'ONDULATION OU LE DÉFRISAGE PERMANENTS)")</f>
        <v xml:space="preserve">   PRÉPARATIONS CAPILLAIRES (À L'EXCL. DES SHAMPOOINGS, DES LAQUES POUR CHEVEUX ET DES PRÉPARATIONS POUR L'ONDULATION OU LE DÉFRISAGE PERMANENTS)</v>
      </c>
      <c r="C9146">
        <v>8007300</v>
      </c>
      <c r="D9146">
        <v>40254</v>
      </c>
    </row>
    <row r="9147" spans="1:4" x14ac:dyDescent="0.25">
      <c r="A9147" t="str">
        <f>T("   330610")</f>
        <v xml:space="preserve">   330610</v>
      </c>
      <c r="B9147" t="str">
        <f>T("   Dentifrices, préparés, même des types utilisés par les dentistes")</f>
        <v xml:space="preserve">   Dentifrices, préparés, même des types utilisés par les dentistes</v>
      </c>
      <c r="C9147">
        <v>38053721</v>
      </c>
      <c r="D9147">
        <v>40498</v>
      </c>
    </row>
    <row r="9148" spans="1:4" x14ac:dyDescent="0.25">
      <c r="A9148" t="str">
        <f>T("   330720")</f>
        <v xml:space="preserve">   330720</v>
      </c>
      <c r="B9148" t="str">
        <f>T("   Désodorisants corporels et antisudoraux, préparés")</f>
        <v xml:space="preserve">   Désodorisants corporels et antisudoraux, préparés</v>
      </c>
      <c r="C9148">
        <v>2483758</v>
      </c>
      <c r="D9148">
        <v>2247</v>
      </c>
    </row>
    <row r="9149" spans="1:4" x14ac:dyDescent="0.25">
      <c r="A9149" t="str">
        <f>T("   340111")</f>
        <v xml:space="preserve">   340111</v>
      </c>
      <c r="B9149" t="s">
        <v>101</v>
      </c>
      <c r="C9149">
        <v>170499286</v>
      </c>
      <c r="D9149">
        <v>124713</v>
      </c>
    </row>
    <row r="9150" spans="1:4" x14ac:dyDescent="0.25">
      <c r="A9150" t="str">
        <f>T("   340119")</f>
        <v xml:space="preserve">   340119</v>
      </c>
      <c r="B9150" t="s">
        <v>102</v>
      </c>
      <c r="C9150">
        <v>975635</v>
      </c>
      <c r="D9150">
        <v>8367</v>
      </c>
    </row>
    <row r="9151" spans="1:4" x14ac:dyDescent="0.25">
      <c r="A9151" t="str">
        <f>T("   340130")</f>
        <v xml:space="preserve">   340130</v>
      </c>
      <c r="B9151" t="str">
        <f>T("   Produits et préparations organiques tensio-actifs destinés au lavage de la peau, sous forme de liquide ou de crème, conditionnés pour la vente au détail, même contenant  du savon")</f>
        <v xml:space="preserve">   Produits et préparations organiques tensio-actifs destinés au lavage de la peau, sous forme de liquide ou de crème, conditionnés pour la vente au détail, même contenant  du savon</v>
      </c>
      <c r="C9151">
        <v>10621808</v>
      </c>
      <c r="D9151">
        <v>9636</v>
      </c>
    </row>
    <row r="9152" spans="1:4" x14ac:dyDescent="0.25">
      <c r="A9152" t="str">
        <f>T("   340220")</f>
        <v xml:space="preserve">   340220</v>
      </c>
      <c r="B9152" t="s">
        <v>103</v>
      </c>
      <c r="C9152">
        <v>17145651</v>
      </c>
      <c r="D9152">
        <v>22874</v>
      </c>
    </row>
    <row r="9153" spans="1:4" x14ac:dyDescent="0.25">
      <c r="A9153" t="str">
        <f>T("   340540")</f>
        <v xml:space="preserve">   340540</v>
      </c>
      <c r="B9153" t="str">
        <f>T("   Pâtes, poudres et autres préparations à récurer, même sous forme de papier, ouates, feutres, nontissés, matière plastique ou caoutchouc alvéolaires, imprégnés, enduits ou recouverts de ces préparations")</f>
        <v xml:space="preserve">   Pâtes, poudres et autres préparations à récurer, même sous forme de papier, ouates, feutres, nontissés, matière plastique ou caoutchouc alvéolaires, imprégnés, enduits ou recouverts de ces préparations</v>
      </c>
      <c r="C9153">
        <v>9293197</v>
      </c>
      <c r="D9153">
        <v>8500</v>
      </c>
    </row>
    <row r="9154" spans="1:4" x14ac:dyDescent="0.25">
      <c r="A9154" t="str">
        <f>T("   380290")</f>
        <v xml:space="preserve">   380290</v>
      </c>
      <c r="B9154" t="str">
        <f>T("   Kieselguhr activé, autres matières minérales naturelles activées et noirs d'origine animale, y.c. le noir animal épuisé (à l'excl. des charbons activés, des produits chimiques activés ainsi que de la diatomite calcinée sans agents frittants)")</f>
        <v xml:space="preserve">   Kieselguhr activé, autres matières minérales naturelles activées et noirs d'origine animale, y.c. le noir animal épuisé (à l'excl. des charbons activés, des produits chimiques activés ainsi que de la diatomite calcinée sans agents frittants)</v>
      </c>
      <c r="C9154">
        <v>600000</v>
      </c>
      <c r="D9154">
        <v>5000</v>
      </c>
    </row>
    <row r="9155" spans="1:4" x14ac:dyDescent="0.25">
      <c r="A9155" t="str">
        <f>T("   380991")</f>
        <v xml:space="preserve">   380991</v>
      </c>
      <c r="B9155" t="s">
        <v>120</v>
      </c>
      <c r="C9155">
        <v>1271494</v>
      </c>
      <c r="D9155">
        <v>1158</v>
      </c>
    </row>
    <row r="9156" spans="1:4" x14ac:dyDescent="0.25">
      <c r="A9156" t="str">
        <f>T("   391721")</f>
        <v xml:space="preserve">   391721</v>
      </c>
      <c r="B9156" t="str">
        <f>T("   TUBES ET TUYAUX RIGIDES, EN POLYMÈRES DE L'ÉTHYLÈNE")</f>
        <v xml:space="preserve">   TUBES ET TUYAUX RIGIDES, EN POLYMÈRES DE L'ÉTHYLÈNE</v>
      </c>
      <c r="C9156">
        <v>7557863</v>
      </c>
      <c r="D9156">
        <v>6679</v>
      </c>
    </row>
    <row r="9157" spans="1:4" x14ac:dyDescent="0.25">
      <c r="A9157" t="str">
        <f>T("   391740")</f>
        <v xml:space="preserve">   391740</v>
      </c>
      <c r="B9157" t="str">
        <f>T("   Accessoires pour tubes ou tuyaux [joints, coudes, raccords, par exemple], en matières plastiques")</f>
        <v xml:space="preserve">   Accessoires pour tubes ou tuyaux [joints, coudes, raccords, par exemple], en matières plastiques</v>
      </c>
      <c r="C9157">
        <v>5878675</v>
      </c>
      <c r="D9157">
        <v>9033</v>
      </c>
    </row>
    <row r="9158" spans="1:4" x14ac:dyDescent="0.25">
      <c r="A9158" t="str">
        <f>T("   391890")</f>
        <v xml:space="preserve">   391890</v>
      </c>
      <c r="B9158" t="s">
        <v>129</v>
      </c>
      <c r="C9158">
        <v>41328</v>
      </c>
      <c r="D9158">
        <v>250</v>
      </c>
    </row>
    <row r="9159" spans="1:4" x14ac:dyDescent="0.25">
      <c r="A9159" t="str">
        <f>T("   392290")</f>
        <v xml:space="preserve">   392290</v>
      </c>
      <c r="B9159" t="str">
        <f>T("   Bidets, cuvettes d'aisance, réservoirs de chasse et articles simil. pour usages sanitaires ou hygiéniques, en matières plastiques (à l'excl. des baignoires, des douches, d'éviers, des lavabos ainsi que des sièges et couvercles de cuvettes d'aisance)")</f>
        <v xml:space="preserve">   Bidets, cuvettes d'aisance, réservoirs de chasse et articles simil. pour usages sanitaires ou hygiéniques, en matières plastiques (à l'excl. des baignoires, des douches, d'éviers, des lavabos ainsi que des sièges et couvercles de cuvettes d'aisance)</v>
      </c>
      <c r="C9159">
        <v>43445</v>
      </c>
      <c r="D9159">
        <v>67</v>
      </c>
    </row>
    <row r="9160" spans="1:4" x14ac:dyDescent="0.25">
      <c r="A9160" t="str">
        <f>T("   392329")</f>
        <v xml:space="preserve">   392329</v>
      </c>
      <c r="B9160" t="str">
        <f>T("   Sacs, sachets, pochettes et cornets, en matières plastiques (autres que les polymères de l'éthylène)")</f>
        <v xml:space="preserve">   Sacs, sachets, pochettes et cornets, en matières plastiques (autres que les polymères de l'éthylène)</v>
      </c>
      <c r="C9160">
        <v>15916</v>
      </c>
      <c r="D9160">
        <v>30</v>
      </c>
    </row>
    <row r="9161" spans="1:4" x14ac:dyDescent="0.25">
      <c r="A9161" t="str">
        <f>T("   392350")</f>
        <v xml:space="preserve">   392350</v>
      </c>
      <c r="B9161" t="str">
        <f>T("   Bouchons, couvercles, capsules et autres dispositifs de fermeture, en matières plastiques")</f>
        <v xml:space="preserve">   Bouchons, couvercles, capsules et autres dispositifs de fermeture, en matières plastiques</v>
      </c>
      <c r="C9161">
        <v>13230345</v>
      </c>
      <c r="D9161">
        <v>1537</v>
      </c>
    </row>
    <row r="9162" spans="1:4" x14ac:dyDescent="0.25">
      <c r="A9162" t="str">
        <f>T("   392690")</f>
        <v xml:space="preserve">   392690</v>
      </c>
      <c r="B9162" t="str">
        <f>T("   Ouvrages en matières plastiques et ouvrages en autres matières du n° 3901 à 3914, n.d.a.")</f>
        <v xml:space="preserve">   Ouvrages en matières plastiques et ouvrages en autres matières du n° 3901 à 3914, n.d.a.</v>
      </c>
      <c r="C9162">
        <v>68614728</v>
      </c>
      <c r="D9162">
        <v>16504</v>
      </c>
    </row>
    <row r="9163" spans="1:4" x14ac:dyDescent="0.25">
      <c r="A9163" t="str">
        <f>T("   401220")</f>
        <v xml:space="preserve">   401220</v>
      </c>
      <c r="B9163" t="str">
        <f>T("   Pneumatiques usagés, en caoutchouc")</f>
        <v xml:space="preserve">   Pneumatiques usagés, en caoutchouc</v>
      </c>
      <c r="C9163">
        <v>9133506</v>
      </c>
      <c r="D9163">
        <v>23621</v>
      </c>
    </row>
    <row r="9164" spans="1:4" x14ac:dyDescent="0.25">
      <c r="A9164" t="str">
        <f>T("   420219")</f>
        <v xml:space="preserve">   420219</v>
      </c>
      <c r="B9164" t="s">
        <v>161</v>
      </c>
      <c r="C9164">
        <v>100000</v>
      </c>
      <c r="D9164">
        <v>150</v>
      </c>
    </row>
    <row r="9165" spans="1:4" x14ac:dyDescent="0.25">
      <c r="A9165" t="str">
        <f>T("   482110")</f>
        <v xml:space="preserve">   482110</v>
      </c>
      <c r="B9165" t="str">
        <f>T("   ÉTIQUETTES DE TOUS GENRES, EN PAPIER OU EN CARTON, IMPRIMÉES")</f>
        <v xml:space="preserve">   ÉTIQUETTES DE TOUS GENRES, EN PAPIER OU EN CARTON, IMPRIMÉES</v>
      </c>
      <c r="C9165">
        <v>6377818</v>
      </c>
      <c r="D9165">
        <v>1596</v>
      </c>
    </row>
    <row r="9166" spans="1:4" x14ac:dyDescent="0.25">
      <c r="A9166" t="str">
        <f>T("   482190")</f>
        <v xml:space="preserve">   482190</v>
      </c>
      <c r="B9166" t="str">
        <f>T("   ÉTIQUETTES DE TOUS GENRES, EN PAPIER OU EN CARTON, NON-IMPRIMÉES")</f>
        <v xml:space="preserve">   ÉTIQUETTES DE TOUS GENRES, EN PAPIER OU EN CARTON, NON-IMPRIMÉES</v>
      </c>
      <c r="C9166">
        <v>3515610</v>
      </c>
      <c r="D9166">
        <v>1363</v>
      </c>
    </row>
    <row r="9167" spans="1:4" x14ac:dyDescent="0.25">
      <c r="A9167" t="str">
        <f>T("   490199")</f>
        <v xml:space="preserve">   490199</v>
      </c>
      <c r="B9167"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9167">
        <v>500000</v>
      </c>
      <c r="D9167">
        <v>450</v>
      </c>
    </row>
    <row r="9168" spans="1:4" x14ac:dyDescent="0.25">
      <c r="A9168" t="str">
        <f>T("   490290")</f>
        <v xml:space="preserve">   490290</v>
      </c>
      <c r="B9168" t="str">
        <f>T("   Journaux et publications périodiques imprimés, même illustrés ou contenant de la publicité (à l'excl. des journaux et publications paraissant au moins quatre fois par semaine)")</f>
        <v xml:space="preserve">   Journaux et publications périodiques imprimés, même illustrés ou contenant de la publicité (à l'excl. des journaux et publications paraissant au moins quatre fois par semaine)</v>
      </c>
      <c r="C9168">
        <v>761594</v>
      </c>
      <c r="D9168">
        <v>243</v>
      </c>
    </row>
    <row r="9169" spans="1:4" x14ac:dyDescent="0.25">
      <c r="A9169" t="str">
        <f>T("   491110")</f>
        <v xml:space="preserve">   491110</v>
      </c>
      <c r="B9169" t="str">
        <f>T("   Imprimés publicitaires, catalogues commerciaux et simil.")</f>
        <v xml:space="preserve">   Imprimés publicitaires, catalogues commerciaux et simil.</v>
      </c>
      <c r="C9169">
        <v>238603</v>
      </c>
      <c r="D9169">
        <v>87</v>
      </c>
    </row>
    <row r="9170" spans="1:4" x14ac:dyDescent="0.25">
      <c r="A9170" t="str">
        <f>T("   491199")</f>
        <v xml:space="preserve">   491199</v>
      </c>
      <c r="B9170" t="str">
        <f>T("   Imprimés, n.d.a.")</f>
        <v xml:space="preserve">   Imprimés, n.d.a.</v>
      </c>
      <c r="C9170">
        <v>4115802</v>
      </c>
      <c r="D9170">
        <v>1468</v>
      </c>
    </row>
    <row r="9171" spans="1:4" x14ac:dyDescent="0.25">
      <c r="A9171" t="str">
        <f>T("   570500")</f>
        <v xml:space="preserve">   570500</v>
      </c>
      <c r="B9171" t="str">
        <f>T("   Tapis et autres revêtements de sol en matières textiles, même confectionnés (à l'excl. à points noués ou enroulés, tissés, touffetés ou en feutre)")</f>
        <v xml:space="preserve">   Tapis et autres revêtements de sol en matières textiles, même confectionnés (à l'excl. à points noués ou enroulés, tissés, touffetés ou en feutre)</v>
      </c>
      <c r="C9171">
        <v>95785</v>
      </c>
      <c r="D9171">
        <v>211</v>
      </c>
    </row>
    <row r="9172" spans="1:4" x14ac:dyDescent="0.25">
      <c r="A9172" t="str">
        <f>T("   610990")</f>
        <v xml:space="preserve">   610990</v>
      </c>
      <c r="B9172" t="str">
        <f>T("   T-shirts et maillots de corps, en bonneterie, de matières textiles (sauf de coton)")</f>
        <v xml:space="preserve">   T-shirts et maillots de corps, en bonneterie, de matières textiles (sauf de coton)</v>
      </c>
      <c r="C9172">
        <v>9550</v>
      </c>
      <c r="D9172">
        <v>20</v>
      </c>
    </row>
    <row r="9173" spans="1:4" x14ac:dyDescent="0.25">
      <c r="A9173" t="str">
        <f>T("   620119")</f>
        <v xml:space="preserve">   620119</v>
      </c>
      <c r="B9173" t="str">
        <f>T("   Manteaux, imperméables, cabans, capes et articles simil., de matières textiles, pour hommes ou garçonnets (autres que laine, poils fins, coton, fibres synthétiques ou artificielles et sauf articles en bonneterie)")</f>
        <v xml:space="preserve">   Manteaux, imperméables, cabans, capes et articles simil., de matières textiles, pour hommes ou garçonnets (autres que laine, poils fins, coton, fibres synthétiques ou artificielles et sauf articles en bonneterie)</v>
      </c>
      <c r="C9173">
        <v>100000</v>
      </c>
      <c r="D9173">
        <v>300</v>
      </c>
    </row>
    <row r="9174" spans="1:4" x14ac:dyDescent="0.25">
      <c r="A9174" t="str">
        <f>T("   620590")</f>
        <v xml:space="preserve">   620590</v>
      </c>
      <c r="B9174"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9174">
        <v>3500000</v>
      </c>
      <c r="D9174">
        <v>3280</v>
      </c>
    </row>
    <row r="9175" spans="1:4" x14ac:dyDescent="0.25">
      <c r="A9175" t="str">
        <f>T("   621050")</f>
        <v xml:space="preserve">   621050</v>
      </c>
      <c r="B9175" t="s">
        <v>273</v>
      </c>
      <c r="C9175">
        <v>250000</v>
      </c>
      <c r="D9175">
        <v>174</v>
      </c>
    </row>
    <row r="9176" spans="1:4" x14ac:dyDescent="0.25">
      <c r="A9176" t="str">
        <f>T("   640590")</f>
        <v xml:space="preserve">   640590</v>
      </c>
      <c r="B9176" t="s">
        <v>290</v>
      </c>
      <c r="C9176">
        <v>2927183</v>
      </c>
      <c r="D9176">
        <v>1818</v>
      </c>
    </row>
    <row r="9177" spans="1:4" x14ac:dyDescent="0.25">
      <c r="A9177" t="str">
        <f>T("   731100")</f>
        <v xml:space="preserve">   731100</v>
      </c>
      <c r="B9177" t="str">
        <f>T("   Récipients en fonte, fer ou acier, pour gaz comprimés ou liquéfiés (autres que conteneurs spécialement conçus ou équipés pour un ou plusieurs moyens de transport)")</f>
        <v xml:space="preserve">   Récipients en fonte, fer ou acier, pour gaz comprimés ou liquéfiés (autres que conteneurs spécialement conçus ou équipés pour un ou plusieurs moyens de transport)</v>
      </c>
      <c r="C9177">
        <v>65345000</v>
      </c>
      <c r="D9177">
        <v>48500</v>
      </c>
    </row>
    <row r="9178" spans="1:4" x14ac:dyDescent="0.25">
      <c r="A9178" t="str">
        <f>T("   732394")</f>
        <v xml:space="preserve">   732394</v>
      </c>
      <c r="B9178" t="s">
        <v>361</v>
      </c>
      <c r="C9178">
        <v>650000</v>
      </c>
      <c r="D9178">
        <v>180</v>
      </c>
    </row>
    <row r="9179" spans="1:4" x14ac:dyDescent="0.25">
      <c r="A9179" t="str">
        <f>T("   732399")</f>
        <v xml:space="preserve">   732399</v>
      </c>
      <c r="B9179" t="s">
        <v>362</v>
      </c>
      <c r="C9179">
        <v>10639772</v>
      </c>
      <c r="D9179">
        <v>9261</v>
      </c>
    </row>
    <row r="9180" spans="1:4" x14ac:dyDescent="0.25">
      <c r="A9180" t="str">
        <f>T("   732690")</f>
        <v xml:space="preserve">   732690</v>
      </c>
      <c r="B9180"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9180">
        <v>16918520</v>
      </c>
      <c r="D9180">
        <v>1013</v>
      </c>
    </row>
    <row r="9181" spans="1:4" x14ac:dyDescent="0.25">
      <c r="A9181" t="str">
        <f>T("   761519")</f>
        <v xml:space="preserve">   761519</v>
      </c>
      <c r="B9181" t="s">
        <v>367</v>
      </c>
      <c r="C9181">
        <v>2000000</v>
      </c>
      <c r="D9181">
        <v>1200</v>
      </c>
    </row>
    <row r="9182" spans="1:4" x14ac:dyDescent="0.25">
      <c r="A9182" t="str">
        <f>T("   820590")</f>
        <v xml:space="preserve">   820590</v>
      </c>
      <c r="B9182" t="str">
        <f>T("   Assortiments d'outils d'au moins deux des sous-positions du n° 8205")</f>
        <v xml:space="preserve">   Assortiments d'outils d'au moins deux des sous-positions du n° 8205</v>
      </c>
      <c r="C9182">
        <v>900500</v>
      </c>
      <c r="D9182">
        <v>800</v>
      </c>
    </row>
    <row r="9183" spans="1:4" x14ac:dyDescent="0.25">
      <c r="A9183" t="str">
        <f>T("   840991")</f>
        <v xml:space="preserve">   840991</v>
      </c>
      <c r="B9183" t="str">
        <f>T("   Parties reconnaissables comme étant exclusivement ou principalement destinées aux moteurs à piston à allumage par étincelles, n.d.a.")</f>
        <v xml:space="preserve">   Parties reconnaissables comme étant exclusivement ou principalement destinées aux moteurs à piston à allumage par étincelles, n.d.a.</v>
      </c>
      <c r="C9183">
        <v>9459</v>
      </c>
      <c r="D9183">
        <v>1</v>
      </c>
    </row>
    <row r="9184" spans="1:4" x14ac:dyDescent="0.25">
      <c r="A9184" t="str">
        <f>T("   841320")</f>
        <v xml:space="preserve">   841320</v>
      </c>
      <c r="B9184" t="str">
        <f>T("   Pompes à bras pour liquides (sauf les pompes avec dispositif mesureur ou conçues pour en comporter du n° 8413.11 ou 8413.19)")</f>
        <v xml:space="preserve">   Pompes à bras pour liquides (sauf les pompes avec dispositif mesureur ou conçues pour en comporter du n° 8413.11 ou 8413.19)</v>
      </c>
      <c r="C9184">
        <v>1098077</v>
      </c>
      <c r="D9184">
        <v>84</v>
      </c>
    </row>
    <row r="9185" spans="1:4" x14ac:dyDescent="0.25">
      <c r="A9185" t="str">
        <f>T("   841381")</f>
        <v xml:space="preserve">   841381</v>
      </c>
      <c r="B9185" t="s">
        <v>393</v>
      </c>
      <c r="C9185">
        <v>4608119</v>
      </c>
      <c r="D9185">
        <v>470</v>
      </c>
    </row>
    <row r="9186" spans="1:4" x14ac:dyDescent="0.25">
      <c r="A9186" t="str">
        <f>T("   841510")</f>
        <v xml:space="preserve">   841510</v>
      </c>
      <c r="B9186" t="s">
        <v>395</v>
      </c>
      <c r="C9186">
        <v>500000</v>
      </c>
      <c r="D9186">
        <v>1300</v>
      </c>
    </row>
    <row r="9187" spans="1:4" x14ac:dyDescent="0.25">
      <c r="A9187" t="str">
        <f>T("   841582")</f>
        <v xml:space="preserve">   841582</v>
      </c>
      <c r="B9187" t="s">
        <v>397</v>
      </c>
      <c r="C9187">
        <v>5954661</v>
      </c>
      <c r="D9187">
        <v>263</v>
      </c>
    </row>
    <row r="9188" spans="1:4" x14ac:dyDescent="0.25">
      <c r="A9188" t="str">
        <f>T("   841780")</f>
        <v xml:space="preserve">   841780</v>
      </c>
      <c r="B9188" t="s">
        <v>399</v>
      </c>
      <c r="C9188">
        <v>50000</v>
      </c>
      <c r="D9188">
        <v>100</v>
      </c>
    </row>
    <row r="9189" spans="1:4" x14ac:dyDescent="0.25">
      <c r="A9189" t="str">
        <f>T("   841829")</f>
        <v xml:space="preserve">   841829</v>
      </c>
      <c r="B9189" t="str">
        <f>T("   Réfrigérateurs ménagers à absorption, non-électriques")</f>
        <v xml:space="preserve">   Réfrigérateurs ménagers à absorption, non-électriques</v>
      </c>
      <c r="C9189">
        <v>2542000</v>
      </c>
      <c r="D9189">
        <v>649</v>
      </c>
    </row>
    <row r="9190" spans="1:4" x14ac:dyDescent="0.25">
      <c r="A9190" t="str">
        <f>T("   841850")</f>
        <v xml:space="preserve">   841850</v>
      </c>
      <c r="B9190" t="s">
        <v>400</v>
      </c>
      <c r="C9190">
        <v>8879758</v>
      </c>
      <c r="D9190">
        <v>393</v>
      </c>
    </row>
    <row r="9191" spans="1:4" x14ac:dyDescent="0.25">
      <c r="A9191" t="str">
        <f>T("   842230")</f>
        <v xml:space="preserve">   842230</v>
      </c>
      <c r="B9191" t="str">
        <f>T("   Machines et appareils à remplir, fermer, boucher ou étiqueter les bouteilles, boîtes, sacs ou autres contenants; machines et appareils à capsuler les bouteilles, pots, tubes et contenants analogues; appareils à gazéifier les boissons")</f>
        <v xml:space="preserve">   Machines et appareils à remplir, fermer, boucher ou étiqueter les bouteilles, boîtes, sacs ou autres contenants; machines et appareils à capsuler les bouteilles, pots, tubes et contenants analogues; appareils à gazéifier les boissons</v>
      </c>
      <c r="C9191">
        <v>1500181</v>
      </c>
      <c r="D9191">
        <v>450</v>
      </c>
    </row>
    <row r="9192" spans="1:4" x14ac:dyDescent="0.25">
      <c r="A9192" t="str">
        <f>T("   842310")</f>
        <v xml:space="preserve">   842310</v>
      </c>
      <c r="B9192" t="str">
        <f>T("   Pèse-personnes, y.c. les pèse-bébés; balances de ménage")</f>
        <v xml:space="preserve">   Pèse-personnes, y.c. les pèse-bébés; balances de ménage</v>
      </c>
      <c r="C9192">
        <v>350000</v>
      </c>
      <c r="D9192">
        <v>160</v>
      </c>
    </row>
    <row r="9193" spans="1:4" x14ac:dyDescent="0.25">
      <c r="A9193" t="str">
        <f>T("   842542")</f>
        <v xml:space="preserve">   842542</v>
      </c>
      <c r="B9193" t="str">
        <f>T("   Crics et vérins, hydrauliques (sauf élévateurs fixes des types utilisés dans les garages pour voitures)")</f>
        <v xml:space="preserve">   Crics et vérins, hydrauliques (sauf élévateurs fixes des types utilisés dans les garages pour voitures)</v>
      </c>
      <c r="C9193">
        <v>715671</v>
      </c>
      <c r="D9193">
        <v>6</v>
      </c>
    </row>
    <row r="9194" spans="1:4" x14ac:dyDescent="0.25">
      <c r="A9194" t="str">
        <f>T("   843049")</f>
        <v xml:space="preserve">   843049</v>
      </c>
      <c r="B9194" t="str">
        <f>T("   Machines de sondage ou de forage de la terre, des minéraux ou des minerais non autopropulsées et non hydrauliques (à l'excl. des machines à creuser les tunnels et autres machines à creuser les galeries, et sauf outillage pour emploi à la main)")</f>
        <v xml:space="preserve">   Machines de sondage ou de forage de la terre, des minéraux ou des minerais non autopropulsées et non hydrauliques (à l'excl. des machines à creuser les tunnels et autres machines à creuser les galeries, et sauf outillage pour emploi à la main)</v>
      </c>
      <c r="C9194">
        <v>55756600</v>
      </c>
      <c r="D9194">
        <v>34032</v>
      </c>
    </row>
    <row r="9195" spans="1:4" x14ac:dyDescent="0.25">
      <c r="A9195" t="str">
        <f>T("   845019")</f>
        <v xml:space="preserve">   845019</v>
      </c>
      <c r="B9195" t="str">
        <f>T("   Machines à laver le linge d'une capacité unitaire exprimée en poids de linge sec &lt;= 6 kg (à l'excl. des machines entièrement automatiques et des machines à laver le linge avec essoreuse centrifuge incorporée)")</f>
        <v xml:space="preserve">   Machines à laver le linge d'une capacité unitaire exprimée en poids de linge sec &lt;= 6 kg (à l'excl. des machines entièrement automatiques et des machines à laver le linge avec essoreuse centrifuge incorporée)</v>
      </c>
      <c r="C9195">
        <v>50000</v>
      </c>
      <c r="D9195">
        <v>100</v>
      </c>
    </row>
    <row r="9196" spans="1:4" x14ac:dyDescent="0.25">
      <c r="A9196" t="str">
        <f>T("   847149")</f>
        <v xml:space="preserve">   847149</v>
      </c>
      <c r="B9196" t="s">
        <v>434</v>
      </c>
      <c r="C9196">
        <v>135000</v>
      </c>
      <c r="D9196">
        <v>250</v>
      </c>
    </row>
    <row r="9197" spans="1:4" x14ac:dyDescent="0.25">
      <c r="A9197" t="str">
        <f>T("   847180")</f>
        <v xml:space="preserve">   847180</v>
      </c>
      <c r="B9197" t="str">
        <f>T("   Unités de machines automatiques de traitement de l'information, numériques (à l'excl. des unités de traitement, unités d'entrée ou de sortie et unités de mémoire)")</f>
        <v xml:space="preserve">   Unités de machines automatiques de traitement de l'information, numériques (à l'excl. des unités de traitement, unités d'entrée ou de sortie et unités de mémoire)</v>
      </c>
      <c r="C9197">
        <v>2599189</v>
      </c>
      <c r="D9197">
        <v>105</v>
      </c>
    </row>
    <row r="9198" spans="1:4" x14ac:dyDescent="0.25">
      <c r="A9198" t="str">
        <f>T("   847190")</f>
        <v xml:space="preserve">   847190</v>
      </c>
      <c r="B9198"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9198">
        <v>2501580</v>
      </c>
      <c r="D9198">
        <v>40</v>
      </c>
    </row>
    <row r="9199" spans="1:4" x14ac:dyDescent="0.25">
      <c r="A9199" t="str">
        <f>T("   847431")</f>
        <v xml:space="preserve">   847431</v>
      </c>
      <c r="B9199" t="str">
        <f>T("   Bétonnières et appareils à gâcher le ciment (sauf montés sur wagons de chemins de fer ou sur châssis de véhicules automobiles)")</f>
        <v xml:space="preserve">   Bétonnières et appareils à gâcher le ciment (sauf montés sur wagons de chemins de fer ou sur châssis de véhicules automobiles)</v>
      </c>
      <c r="C9199">
        <v>1200000</v>
      </c>
      <c r="D9199">
        <v>1380</v>
      </c>
    </row>
    <row r="9200" spans="1:4" x14ac:dyDescent="0.25">
      <c r="A9200" t="str">
        <f>T("   848180")</f>
        <v xml:space="preserve">   848180</v>
      </c>
      <c r="B9200" t="str">
        <f>T("   Articles de robinetterie et organes simil. pour tuyauteries, etc. (à l'excl. des détendeurs, valves pour transmissions oléohydrauliques ou pneumatiques, clapets et soupapes de retenue et sauf soupapes de trop-plein ou de sûreté)")</f>
        <v xml:space="preserve">   Articles de robinetterie et organes simil. pour tuyauteries, etc. (à l'excl. des détendeurs, valves pour transmissions oléohydrauliques ou pneumatiques, clapets et soupapes de retenue et sauf soupapes de trop-plein ou de sûreté)</v>
      </c>
      <c r="C9200">
        <v>242500</v>
      </c>
      <c r="D9200">
        <v>32</v>
      </c>
    </row>
    <row r="9201" spans="1:4" x14ac:dyDescent="0.25">
      <c r="A9201" t="str">
        <f>T("   848310")</f>
        <v xml:space="preserve">   848310</v>
      </c>
      <c r="B9201" t="str">
        <f>T("   Arbres de transmission pour machines, y.c. -les arbres à cames et les vilebrequins- et manivelles")</f>
        <v xml:space="preserve">   Arbres de transmission pour machines, y.c. -les arbres à cames et les vilebrequins- et manivelles</v>
      </c>
      <c r="C9201">
        <v>1010415</v>
      </c>
      <c r="D9201">
        <v>136</v>
      </c>
    </row>
    <row r="9202" spans="1:4" x14ac:dyDescent="0.25">
      <c r="A9202" t="str">
        <f>T("   848330")</f>
        <v xml:space="preserve">   848330</v>
      </c>
      <c r="B9202" t="str">
        <f>T("   Paliers pour machines, sans roulements incorporés; coussinets et coquilles de coussinets pour machines")</f>
        <v xml:space="preserve">   Paliers pour machines, sans roulements incorporés; coussinets et coquilles de coussinets pour machines</v>
      </c>
      <c r="C9202">
        <v>1010415</v>
      </c>
      <c r="D9202">
        <v>137</v>
      </c>
    </row>
    <row r="9203" spans="1:4" x14ac:dyDescent="0.25">
      <c r="A9203" t="str">
        <f>T("   850131")</f>
        <v xml:space="preserve">   850131</v>
      </c>
      <c r="B9203" t="str">
        <f>T("   Moteurs à courant continu, puissance &lt;= 750 W mais &gt; 37,5 W et génératrices à courant continu, puissance &lt;= 750 W")</f>
        <v xml:space="preserve">   Moteurs à courant continu, puissance &lt;= 750 W mais &gt; 37,5 W et génératrices à courant continu, puissance &lt;= 750 W</v>
      </c>
      <c r="C9203">
        <v>100000</v>
      </c>
      <c r="D9203">
        <v>100</v>
      </c>
    </row>
    <row r="9204" spans="1:4" x14ac:dyDescent="0.25">
      <c r="A9204" t="str">
        <f>T("   850211")</f>
        <v xml:space="preserve">   850211</v>
      </c>
      <c r="B9204" t="s">
        <v>444</v>
      </c>
      <c r="C9204">
        <v>2000000</v>
      </c>
      <c r="D9204">
        <v>9000</v>
      </c>
    </row>
    <row r="9205" spans="1:4" x14ac:dyDescent="0.25">
      <c r="A9205" t="str">
        <f>T("   850440")</f>
        <v xml:space="preserve">   850440</v>
      </c>
      <c r="B9205" t="str">
        <f>T("   CONVERTISSEURS STATIQUES")</f>
        <v xml:space="preserve">   CONVERTISSEURS STATIQUES</v>
      </c>
      <c r="C9205">
        <v>352000</v>
      </c>
      <c r="D9205">
        <v>550</v>
      </c>
    </row>
    <row r="9206" spans="1:4" x14ac:dyDescent="0.25">
      <c r="A9206" t="str">
        <f>T("   851140")</f>
        <v xml:space="preserve">   851140</v>
      </c>
      <c r="B9206" t="str">
        <f>T("   Démarreurs, même fonctionnant comme génératrices, pour moteurs à allumage par étincelles ou par compression")</f>
        <v xml:space="preserve">   Démarreurs, même fonctionnant comme génératrices, pour moteurs à allumage par étincelles ou par compression</v>
      </c>
      <c r="C9206">
        <v>353462</v>
      </c>
      <c r="D9206">
        <v>13</v>
      </c>
    </row>
    <row r="9207" spans="1:4" x14ac:dyDescent="0.25">
      <c r="A9207" t="str">
        <f>T("   851220")</f>
        <v xml:space="preserve">   851220</v>
      </c>
      <c r="B9207" t="str">
        <f>T("   Appareils électriques d'éclairage ou de signalisation visuelle, pour automobiles (à l'excl. des lampes du n° 8539)")</f>
        <v xml:space="preserve">   Appareils électriques d'éclairage ou de signalisation visuelle, pour automobiles (à l'excl. des lampes du n° 8539)</v>
      </c>
      <c r="C9207">
        <v>247185</v>
      </c>
      <c r="D9207">
        <v>1</v>
      </c>
    </row>
    <row r="9208" spans="1:4" x14ac:dyDescent="0.25">
      <c r="A9208" t="str">
        <f>T("   851780")</f>
        <v xml:space="preserve">   851780</v>
      </c>
      <c r="B9208" t="s">
        <v>453</v>
      </c>
      <c r="C9208">
        <v>3016658</v>
      </c>
      <c r="D9208">
        <v>62</v>
      </c>
    </row>
    <row r="9209" spans="1:4" x14ac:dyDescent="0.25">
      <c r="A9209" t="str">
        <f>T("   851790")</f>
        <v xml:space="preserve">   851790</v>
      </c>
      <c r="B9209" t="s">
        <v>454</v>
      </c>
      <c r="C9209">
        <v>50100</v>
      </c>
      <c r="D9209">
        <v>1</v>
      </c>
    </row>
    <row r="9210" spans="1:4" x14ac:dyDescent="0.25">
      <c r="A9210" t="str">
        <f>T("   852812")</f>
        <v xml:space="preserve">   852812</v>
      </c>
      <c r="B9210"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9210">
        <v>3228736</v>
      </c>
      <c r="D9210">
        <v>2963</v>
      </c>
    </row>
    <row r="9211" spans="1:4" x14ac:dyDescent="0.25">
      <c r="A9211" t="str">
        <f>T("   852990")</f>
        <v xml:space="preserve">   852990</v>
      </c>
      <c r="B9211" t="s">
        <v>466</v>
      </c>
      <c r="C9211">
        <v>263041</v>
      </c>
      <c r="D9211">
        <v>8</v>
      </c>
    </row>
    <row r="9212" spans="1:4" x14ac:dyDescent="0.25">
      <c r="A9212" t="str">
        <f>T("   854420")</f>
        <v xml:space="preserve">   854420</v>
      </c>
      <c r="B9212" t="str">
        <f>T("   Câbles coaxiaux et autres conducteurs électriques coaxiaux, isolés")</f>
        <v xml:space="preserve">   Câbles coaxiaux et autres conducteurs électriques coaxiaux, isolés</v>
      </c>
      <c r="C9212">
        <v>105531800</v>
      </c>
      <c r="D9212">
        <v>239652</v>
      </c>
    </row>
    <row r="9213" spans="1:4" x14ac:dyDescent="0.25">
      <c r="A9213" t="str">
        <f>T("   854449")</f>
        <v xml:space="preserve">   854449</v>
      </c>
      <c r="B9213" t="str">
        <f>T("   CONDUCTEURS ÉLECTRIQUES, POUR TENSION &lt;= 1.000 V, ISOLÉS, SANS PIÈCES DE CONNEXION, N.D.A.")</f>
        <v xml:space="preserve">   CONDUCTEURS ÉLECTRIQUES, POUR TENSION &lt;= 1.000 V, ISOLÉS, SANS PIÈCES DE CONNEXION, N.D.A.</v>
      </c>
      <c r="C9213">
        <v>449017</v>
      </c>
      <c r="D9213">
        <v>733</v>
      </c>
    </row>
    <row r="9214" spans="1:4" x14ac:dyDescent="0.25">
      <c r="A9214" t="str">
        <f>T("   854459")</f>
        <v xml:space="preserve">   854459</v>
      </c>
      <c r="B9214" t="str">
        <f>T("   Conducteurs électriques, pour tension &gt; 80 V mais &lt;= 1.000 V, sans pièces de connexion, n.d.a.")</f>
        <v xml:space="preserve">   Conducteurs électriques, pour tension &gt; 80 V mais &lt;= 1.000 V, sans pièces de connexion, n.d.a.</v>
      </c>
      <c r="C9214">
        <v>213769876</v>
      </c>
      <c r="D9214">
        <v>286161</v>
      </c>
    </row>
    <row r="9215" spans="1:4" x14ac:dyDescent="0.25">
      <c r="A9215" t="str">
        <f>T("   854470")</f>
        <v xml:space="preserve">   854470</v>
      </c>
      <c r="B9215" t="str">
        <f>T("   Câbles de fibres optiques constitués de fibres optiques gainées individuellement, comportant également des conducteurs électriques ou munis de pièces de connexion")</f>
        <v xml:space="preserve">   Câbles de fibres optiques constitués de fibres optiques gainées individuellement, comportant également des conducteurs électriques ou munis de pièces de connexion</v>
      </c>
      <c r="C9215">
        <v>40647</v>
      </c>
      <c r="D9215">
        <v>1</v>
      </c>
    </row>
    <row r="9216" spans="1:4" x14ac:dyDescent="0.25">
      <c r="A9216" t="str">
        <f>T("   870120")</f>
        <v xml:space="preserve">   870120</v>
      </c>
      <c r="B9216" t="str">
        <f>T("   Tracteurs routiers pour semi-remorques")</f>
        <v xml:space="preserve">   Tracteurs routiers pour semi-remorques</v>
      </c>
      <c r="C9216">
        <v>11672698</v>
      </c>
      <c r="D9216">
        <v>6000</v>
      </c>
    </row>
    <row r="9217" spans="1:4" x14ac:dyDescent="0.25">
      <c r="A9217" t="str">
        <f>T("   870322")</f>
        <v xml:space="preserve">   870322</v>
      </c>
      <c r="B9217" t="s">
        <v>475</v>
      </c>
      <c r="C9217">
        <v>2264668</v>
      </c>
      <c r="D9217">
        <v>1850</v>
      </c>
    </row>
    <row r="9218" spans="1:4" x14ac:dyDescent="0.25">
      <c r="A9218" t="str">
        <f>T("   870323")</f>
        <v xml:space="preserve">   870323</v>
      </c>
      <c r="B9218" t="s">
        <v>476</v>
      </c>
      <c r="C9218">
        <v>89408214</v>
      </c>
      <c r="D9218">
        <v>14650</v>
      </c>
    </row>
    <row r="9219" spans="1:4" x14ac:dyDescent="0.25">
      <c r="A9219" t="str">
        <f>T("   870421")</f>
        <v xml:space="preserve">   870421</v>
      </c>
      <c r="B9219" t="s">
        <v>481</v>
      </c>
      <c r="C9219">
        <v>1296966</v>
      </c>
      <c r="D9219">
        <v>6000</v>
      </c>
    </row>
    <row r="9220" spans="1:4" x14ac:dyDescent="0.25">
      <c r="A9220" t="str">
        <f>T("   871110")</f>
        <v xml:space="preserve">   871110</v>
      </c>
      <c r="B9220" t="str">
        <f>T("   Cyclomoteurs, à moteur à piston alternatif, cylindrée &lt;= 50 cm³, y.c. cycles à moteur auxiliaire")</f>
        <v xml:space="preserve">   Cyclomoteurs, à moteur à piston alternatif, cylindrée &lt;= 50 cm³, y.c. cycles à moteur auxiliaire</v>
      </c>
      <c r="C9220">
        <v>200000</v>
      </c>
      <c r="D9220">
        <v>150</v>
      </c>
    </row>
    <row r="9221" spans="1:4" x14ac:dyDescent="0.25">
      <c r="A9221" t="str">
        <f>T("   871640")</f>
        <v xml:space="preserve">   871640</v>
      </c>
      <c r="B9221" t="str">
        <f>T("   Remorques ne circulant pas sur rails (à l'excl. des remorques pour le transport de marchandises et remorques pour l'habitation ou le camping, du type caravane)")</f>
        <v xml:space="preserve">   Remorques ne circulant pas sur rails (à l'excl. des remorques pour le transport de marchandises et remorques pour l'habitation ou le camping, du type caravane)</v>
      </c>
      <c r="C9221">
        <v>1613685</v>
      </c>
      <c r="D9221">
        <v>8000</v>
      </c>
    </row>
    <row r="9222" spans="1:4" x14ac:dyDescent="0.25">
      <c r="A9222" t="str">
        <f>T("   890690")</f>
        <v xml:space="preserve">   890690</v>
      </c>
      <c r="B9222" t="str">
        <f>T("   Bateaux, y.c. les bateaux de sauvetage (à l'excl. des navires de guerre, des bateaux à rames et autres bateaux du n° 8901 à 8905 et des bateaux à dépecer)")</f>
        <v xml:space="preserve">   Bateaux, y.c. les bateaux de sauvetage (à l'excl. des navires de guerre, des bateaux à rames et autres bateaux du n° 8901 à 8905 et des bateaux à dépecer)</v>
      </c>
      <c r="C9222">
        <v>3395000</v>
      </c>
      <c r="D9222">
        <v>360</v>
      </c>
    </row>
    <row r="9223" spans="1:4" x14ac:dyDescent="0.25">
      <c r="A9223" t="str">
        <f>T("   901580")</f>
        <v xml:space="preserve">   901580</v>
      </c>
      <c r="B9223" t="s">
        <v>496</v>
      </c>
      <c r="C9223">
        <v>160100</v>
      </c>
      <c r="D9223">
        <v>1</v>
      </c>
    </row>
    <row r="9224" spans="1:4" x14ac:dyDescent="0.25">
      <c r="A9224" t="str">
        <f>T("   902519")</f>
        <v xml:space="preserve">   902519</v>
      </c>
      <c r="B9224" t="str">
        <f>T("   THERMOMÈTRES ET PYROMÈTRES, NON-COMBINÉS À D'AUTRES INSTRUMENTS (À L'EXCL. DES THERMOMÈTRES À LIQUIDE, À LECTURE DIRECTE) [01/01/1988-31/12/1991: THERMOMÈTRES, NON COMBINES A D'AUTRES INSTRUMENTS, (NON REPR. SOUS 9025.11)]")</f>
        <v xml:space="preserve">   THERMOMÈTRES ET PYROMÈTRES, NON-COMBINÉS À D'AUTRES INSTRUMENTS (À L'EXCL. DES THERMOMÈTRES À LIQUIDE, À LECTURE DIRECTE) [01/01/1988-31/12/1991: THERMOMÈTRES, NON COMBINES A D'AUTRES INSTRUMENTS, (NON REPR. SOUS 9025.11)]</v>
      </c>
      <c r="C9224">
        <v>140018</v>
      </c>
      <c r="D9224">
        <v>193</v>
      </c>
    </row>
    <row r="9225" spans="1:4" x14ac:dyDescent="0.25">
      <c r="A9225" t="str">
        <f>T("   902580")</f>
        <v xml:space="preserve">   902580</v>
      </c>
      <c r="B9225" t="s">
        <v>501</v>
      </c>
      <c r="C9225">
        <v>262641</v>
      </c>
      <c r="D9225">
        <v>1</v>
      </c>
    </row>
    <row r="9226" spans="1:4" x14ac:dyDescent="0.25">
      <c r="A9226" t="str">
        <f>T("   903039")</f>
        <v xml:space="preserve">   903039</v>
      </c>
      <c r="B9226" t="str">
        <f>T("   Instruments et appareils pour la mesure ou le contrôle de la tension, de l'intensité, de la résistance ou de la puissance, sans dispositif enregistreur (à l'excl. des multimètres ainsi que des oscilloscopes et oscillographes cathodiques)")</f>
        <v xml:space="preserve">   Instruments et appareils pour la mesure ou le contrôle de la tension, de l'intensité, de la résistance ou de la puissance, sans dispositif enregistreur (à l'excl. des multimètres ainsi que des oscilloscopes et oscillographes cathodiques)</v>
      </c>
      <c r="C9226">
        <v>247507</v>
      </c>
      <c r="D9226">
        <v>58</v>
      </c>
    </row>
    <row r="9227" spans="1:4" x14ac:dyDescent="0.25">
      <c r="A9227" t="str">
        <f>T("   940350")</f>
        <v xml:space="preserve">   940350</v>
      </c>
      <c r="B9227" t="str">
        <f>T("   Meubles pour chambres à coucher, en bois (sauf sièges)")</f>
        <v xml:space="preserve">   Meubles pour chambres à coucher, en bois (sauf sièges)</v>
      </c>
      <c r="C9227">
        <v>4415011</v>
      </c>
      <c r="D9227">
        <v>3620</v>
      </c>
    </row>
    <row r="9228" spans="1:4" x14ac:dyDescent="0.25">
      <c r="A9228" t="str">
        <f>T("   940360")</f>
        <v xml:space="preserve">   940360</v>
      </c>
      <c r="B9228" t="str">
        <f>T("   Meubles en bois (autres que pour bureaux, cuisines ou chambres à coucher et autres que sièges)")</f>
        <v xml:space="preserve">   Meubles en bois (autres que pour bureaux, cuisines ou chambres à coucher et autres que sièges)</v>
      </c>
      <c r="C9228">
        <v>5300000</v>
      </c>
      <c r="D9228">
        <v>5930</v>
      </c>
    </row>
    <row r="9229" spans="1:4" x14ac:dyDescent="0.25">
      <c r="A9229" t="str">
        <f>T("   940370")</f>
        <v xml:space="preserve">   940370</v>
      </c>
      <c r="B9229" t="str">
        <f>T("   Meubles en matières plastiques (autres que pour la médecine, l'art dentaire et vétérinaire, la chirurgie et autres que sièges)")</f>
        <v xml:space="preserve">   Meubles en matières plastiques (autres que pour la médecine, l'art dentaire et vétérinaire, la chirurgie et autres que sièges)</v>
      </c>
      <c r="C9229">
        <v>2500000</v>
      </c>
      <c r="D9229">
        <v>2070</v>
      </c>
    </row>
    <row r="9230" spans="1:4" x14ac:dyDescent="0.25">
      <c r="A9230" t="str">
        <f>T("   940380")</f>
        <v xml:space="preserve">   940380</v>
      </c>
      <c r="B9230" t="str">
        <f>T("   Meubles en rotin, osier, bambou ou autres matières (sauf métal, bois et matières plastiques)")</f>
        <v xml:space="preserve">   Meubles en rotin, osier, bambou ou autres matières (sauf métal, bois et matières plastiques)</v>
      </c>
      <c r="C9230">
        <v>3115709</v>
      </c>
      <c r="D9230">
        <v>5915</v>
      </c>
    </row>
    <row r="9231" spans="1:4" x14ac:dyDescent="0.25">
      <c r="A9231" t="str">
        <f>T("   940490")</f>
        <v xml:space="preserve">   940490</v>
      </c>
      <c r="B9231" t="s">
        <v>508</v>
      </c>
      <c r="C9231">
        <v>200000</v>
      </c>
      <c r="D9231">
        <v>320</v>
      </c>
    </row>
    <row r="9232" spans="1:4" x14ac:dyDescent="0.25">
      <c r="A9232" t="str">
        <f>T("   940560")</f>
        <v xml:space="preserve">   940560</v>
      </c>
      <c r="B9232" t="str">
        <f>T("   Lampes-réclames, enseignes lumineuses, plaques indicatrices lumineuses et articles simil., possédant une source d'éclairage fixée à demeure")</f>
        <v xml:space="preserve">   Lampes-réclames, enseignes lumineuses, plaques indicatrices lumineuses et articles simil., possédant une source d'éclairage fixée à demeure</v>
      </c>
      <c r="C9232">
        <v>11500000</v>
      </c>
      <c r="D9232">
        <v>6875</v>
      </c>
    </row>
    <row r="9233" spans="1:4" x14ac:dyDescent="0.25">
      <c r="A9233" t="str">
        <f>T("   950661")</f>
        <v xml:space="preserve">   950661</v>
      </c>
      <c r="B9233" t="str">
        <f>T("   Balles de tennis (à l'excl. des balles de tennis de table)")</f>
        <v xml:space="preserve">   Balles de tennis (à l'excl. des balles de tennis de table)</v>
      </c>
      <c r="C9233">
        <v>500000</v>
      </c>
      <c r="D9233">
        <v>200</v>
      </c>
    </row>
    <row r="9234" spans="1:4" x14ac:dyDescent="0.25">
      <c r="A9234" t="str">
        <f>T("   960321")</f>
        <v xml:space="preserve">   960321</v>
      </c>
      <c r="B9234" t="str">
        <f>T("   Brosses à dent, y.c. brosses à prothèses dentaires")</f>
        <v xml:space="preserve">   Brosses à dent, y.c. brosses à prothèses dentaires</v>
      </c>
      <c r="C9234">
        <v>9556859</v>
      </c>
      <c r="D9234">
        <v>4765</v>
      </c>
    </row>
    <row r="9235" spans="1:4" x14ac:dyDescent="0.25">
      <c r="A9235" t="str">
        <f>T("   960839")</f>
        <v xml:space="preserve">   960839</v>
      </c>
      <c r="B9235" t="str">
        <f>T("   Stylos à plume et autres stylos (autres qu'à dessiner à l'encre de Chine)")</f>
        <v xml:space="preserve">   Stylos à plume et autres stylos (autres qu'à dessiner à l'encre de Chine)</v>
      </c>
      <c r="C9235">
        <v>474110</v>
      </c>
      <c r="D9235">
        <v>368</v>
      </c>
    </row>
    <row r="9236" spans="1:4" x14ac:dyDescent="0.25">
      <c r="A9236" t="str">
        <f>T("   970500")</f>
        <v xml:space="preserve">   970500</v>
      </c>
      <c r="B9236" t="str">
        <f>T("   Collections et spécimens pour collections de zoologie, de botanique, de minéralogie, d'anatomie, ou présentant un intérêt historique, archéologique, paléontologique, ethnographique ou numismatique")</f>
        <v xml:space="preserve">   Collections et spécimens pour collections de zoologie, de botanique, de minéralogie, d'anatomie, ou présentant un intérêt historique, archéologique, paléontologique, ethnographique ou numismatique</v>
      </c>
      <c r="C9236">
        <v>92000</v>
      </c>
      <c r="D9236">
        <v>161</v>
      </c>
    </row>
    <row r="9237" spans="1:4" x14ac:dyDescent="0.25">
      <c r="A9237" t="str">
        <f>T("SO")</f>
        <v>SO</v>
      </c>
      <c r="B9237" t="str">
        <f>T("Somalie")</f>
        <v>Somalie</v>
      </c>
    </row>
    <row r="9238" spans="1:4" x14ac:dyDescent="0.25">
      <c r="A9238" t="str">
        <f>T("   ZZ_Total_Produit_SH6")</f>
        <v xml:space="preserve">   ZZ_Total_Produit_SH6</v>
      </c>
      <c r="B9238" t="str">
        <f>T("   ZZ_Total_Produit_SH6")</f>
        <v xml:space="preserve">   ZZ_Total_Produit_SH6</v>
      </c>
      <c r="C9238">
        <v>1200000</v>
      </c>
      <c r="D9238">
        <v>1100</v>
      </c>
    </row>
    <row r="9239" spans="1:4" x14ac:dyDescent="0.25">
      <c r="A9239" t="str">
        <f>T("   870290")</f>
        <v xml:space="preserve">   870290</v>
      </c>
      <c r="B9239" t="s">
        <v>473</v>
      </c>
      <c r="C9239">
        <v>1200000</v>
      </c>
      <c r="D9239">
        <v>1100</v>
      </c>
    </row>
    <row r="9240" spans="1:4" x14ac:dyDescent="0.25">
      <c r="A9240" t="str">
        <f>T("SR")</f>
        <v>SR</v>
      </c>
      <c r="B9240" t="str">
        <f>T("Suriname")</f>
        <v>Suriname</v>
      </c>
    </row>
    <row r="9241" spans="1:4" x14ac:dyDescent="0.25">
      <c r="A9241" t="str">
        <f>T("   ZZ_Total_Produit_SH6")</f>
        <v xml:space="preserve">   ZZ_Total_Produit_SH6</v>
      </c>
      <c r="B9241" t="str">
        <f>T("   ZZ_Total_Produit_SH6")</f>
        <v xml:space="preserve">   ZZ_Total_Produit_SH6</v>
      </c>
      <c r="C9241">
        <v>4436254</v>
      </c>
      <c r="D9241">
        <v>94</v>
      </c>
    </row>
    <row r="9242" spans="1:4" x14ac:dyDescent="0.25">
      <c r="A9242" t="str">
        <f>T("   730792")</f>
        <v xml:space="preserve">   730792</v>
      </c>
      <c r="B9242" t="str">
        <f>T("   Coudes, courbes et manchons en fer ou en aciers, filetés (autres que moulés ou en aciers inoxydables)")</f>
        <v xml:space="preserve">   Coudes, courbes et manchons en fer ou en aciers, filetés (autres que moulés ou en aciers inoxydables)</v>
      </c>
      <c r="C9242">
        <v>28318</v>
      </c>
      <c r="D9242">
        <v>5</v>
      </c>
    </row>
    <row r="9243" spans="1:4" x14ac:dyDescent="0.25">
      <c r="A9243" t="str">
        <f>T("   842542")</f>
        <v xml:space="preserve">   842542</v>
      </c>
      <c r="B9243" t="str">
        <f>T("   Crics et vérins, hydrauliques (sauf élévateurs fixes des types utilisés dans les garages pour voitures)")</f>
        <v xml:space="preserve">   Crics et vérins, hydrauliques (sauf élévateurs fixes des types utilisés dans les garages pour voitures)</v>
      </c>
      <c r="C9243">
        <v>294914</v>
      </c>
      <c r="D9243">
        <v>20</v>
      </c>
    </row>
    <row r="9244" spans="1:4" x14ac:dyDescent="0.25">
      <c r="A9244" t="str">
        <f>T("   843149")</f>
        <v xml:space="preserve">   843149</v>
      </c>
      <c r="B9244" t="str">
        <f>T("   Parties de machines et appareils du n° 8426, 8429 ou 8430, n.d.a.")</f>
        <v xml:space="preserve">   Parties de machines et appareils du n° 8426, 8429 ou 8430, n.d.a.</v>
      </c>
      <c r="C9244">
        <v>3950705</v>
      </c>
      <c r="D9244">
        <v>60</v>
      </c>
    </row>
    <row r="9245" spans="1:4" x14ac:dyDescent="0.25">
      <c r="A9245" t="str">
        <f>T("   848490")</f>
        <v xml:space="preserve">   848490</v>
      </c>
      <c r="B9245" t="str">
        <f>T("   Jeux ou assortiments de joints de composition différente présentés en pochettes, enveloppes ou emballages analogues")</f>
        <v xml:space="preserve">   Jeux ou assortiments de joints de composition différente présentés en pochettes, enveloppes ou emballages analogues</v>
      </c>
      <c r="C9245">
        <v>162317</v>
      </c>
      <c r="D9245">
        <v>9</v>
      </c>
    </row>
    <row r="9246" spans="1:4" x14ac:dyDescent="0.25">
      <c r="A9246" t="str">
        <f>T("SV")</f>
        <v>SV</v>
      </c>
      <c r="B9246" t="str">
        <f>T("El Salvador")</f>
        <v>El Salvador</v>
      </c>
    </row>
    <row r="9247" spans="1:4" x14ac:dyDescent="0.25">
      <c r="A9247" t="str">
        <f>T("   ZZ_Total_Produit_SH6")</f>
        <v xml:space="preserve">   ZZ_Total_Produit_SH6</v>
      </c>
      <c r="B9247" t="str">
        <f>T("   ZZ_Total_Produit_SH6")</f>
        <v xml:space="preserve">   ZZ_Total_Produit_SH6</v>
      </c>
      <c r="C9247">
        <v>909717</v>
      </c>
      <c r="D9247">
        <v>3</v>
      </c>
    </row>
    <row r="9248" spans="1:4" x14ac:dyDescent="0.25">
      <c r="A9248" t="str">
        <f>T("   848250")</f>
        <v xml:space="preserve">   848250</v>
      </c>
      <c r="B9248" t="str">
        <f>T("   Roulements à rouleaux cylindriques")</f>
        <v xml:space="preserve">   Roulements à rouleaux cylindriques</v>
      </c>
      <c r="C9248">
        <v>190254</v>
      </c>
      <c r="D9248">
        <v>2</v>
      </c>
    </row>
    <row r="9249" spans="1:4" x14ac:dyDescent="0.25">
      <c r="A9249" t="str">
        <f>T("   853650")</f>
        <v xml:space="preserve">   853650</v>
      </c>
      <c r="B9249" t="str">
        <f>T("   Interrupteurs, sectionneurs et commutateurs, pour une tension &lt;= 1.000 V (autres que relais et disjoncteurs)")</f>
        <v xml:space="preserve">   Interrupteurs, sectionneurs et commutateurs, pour une tension &lt;= 1.000 V (autres que relais et disjoncteurs)</v>
      </c>
      <c r="C9249">
        <v>719463</v>
      </c>
      <c r="D9249">
        <v>1</v>
      </c>
    </row>
    <row r="9250" spans="1:4" x14ac:dyDescent="0.25">
      <c r="A9250" t="str">
        <f>T("SY")</f>
        <v>SY</v>
      </c>
      <c r="B9250" t="str">
        <f>T("Syrienne, République arabe")</f>
        <v>Syrienne, République arabe</v>
      </c>
    </row>
    <row r="9251" spans="1:4" x14ac:dyDescent="0.25">
      <c r="A9251" t="str">
        <f>T("   ZZ_Total_Produit_SH6")</f>
        <v xml:space="preserve">   ZZ_Total_Produit_SH6</v>
      </c>
      <c r="B9251" t="str">
        <f>T("   ZZ_Total_Produit_SH6")</f>
        <v xml:space="preserve">   ZZ_Total_Produit_SH6</v>
      </c>
      <c r="C9251">
        <v>60248432</v>
      </c>
      <c r="D9251">
        <v>71819</v>
      </c>
    </row>
    <row r="9252" spans="1:4" x14ac:dyDescent="0.25">
      <c r="A9252" t="str">
        <f>T("   210690")</f>
        <v xml:space="preserve">   210690</v>
      </c>
      <c r="B9252" t="str">
        <f>T("   Préparations alimentaires, n.d.a.")</f>
        <v xml:space="preserve">   Préparations alimentaires, n.d.a.</v>
      </c>
      <c r="C9252">
        <v>172566</v>
      </c>
      <c r="D9252">
        <v>30</v>
      </c>
    </row>
    <row r="9253" spans="1:4" x14ac:dyDescent="0.25">
      <c r="A9253" t="str">
        <f>T("   391890")</f>
        <v xml:space="preserve">   391890</v>
      </c>
      <c r="B9253" t="s">
        <v>129</v>
      </c>
      <c r="C9253">
        <v>3149330</v>
      </c>
      <c r="D9253">
        <v>7500</v>
      </c>
    </row>
    <row r="9254" spans="1:4" x14ac:dyDescent="0.25">
      <c r="A9254" t="str">
        <f>T("   392390")</f>
        <v xml:space="preserve">   392390</v>
      </c>
      <c r="B9254" t="s">
        <v>144</v>
      </c>
      <c r="C9254">
        <v>3103312</v>
      </c>
      <c r="D9254">
        <v>11000</v>
      </c>
    </row>
    <row r="9255" spans="1:4" x14ac:dyDescent="0.25">
      <c r="A9255" t="str">
        <f>T("   401693")</f>
        <v xml:space="preserve">   401693</v>
      </c>
      <c r="B9255" t="str">
        <f>T("   Joints en caoutchouc vulcanisé non durci (à l'excl. des articles en caoutchouc alvéolaire)")</f>
        <v xml:space="preserve">   Joints en caoutchouc vulcanisé non durci (à l'excl. des articles en caoutchouc alvéolaire)</v>
      </c>
      <c r="C9255">
        <v>236041</v>
      </c>
      <c r="D9255">
        <v>18</v>
      </c>
    </row>
    <row r="9256" spans="1:4" x14ac:dyDescent="0.25">
      <c r="A9256" t="str">
        <f>T("   551219")</f>
        <v xml:space="preserve">   551219</v>
      </c>
      <c r="B9256" t="str">
        <f>T("   Tissus, teints, imprimés ou en fils de diverses couleurs, de fibres discontinues de polyester, contenant &gt;= 85% en poids de ces fibres")</f>
        <v xml:space="preserve">   Tissus, teints, imprimés ou en fils de diverses couleurs, de fibres discontinues de polyester, contenant &gt;= 85% en poids de ces fibres</v>
      </c>
      <c r="C9256">
        <v>15294056</v>
      </c>
      <c r="D9256">
        <v>15585</v>
      </c>
    </row>
    <row r="9257" spans="1:4" x14ac:dyDescent="0.25">
      <c r="A9257" t="str">
        <f>T("   630239")</f>
        <v xml:space="preserve">   630239</v>
      </c>
      <c r="B9257" t="str">
        <f>T("   Linge de lit de matières textiles (autres que de coton, fibres synthétiques ou artificielles, autre qu'imprimé, autre qu'en bonneterie)")</f>
        <v xml:space="preserve">   Linge de lit de matières textiles (autres que de coton, fibres synthétiques ou artificielles, autre qu'imprimé, autre qu'en bonneterie)</v>
      </c>
      <c r="C9257">
        <v>2760577</v>
      </c>
      <c r="D9257">
        <v>5439</v>
      </c>
    </row>
    <row r="9258" spans="1:4" x14ac:dyDescent="0.25">
      <c r="A9258" t="str">
        <f>T("   630399")</f>
        <v xml:space="preserve">   630399</v>
      </c>
      <c r="B9258" t="str">
        <f>T("   Vitrages, rideaux et stores d'intérieur ainsi que cantonnières et tours de lit, de matières textiles (autres que de coton et fibres synthétiques, autres qu'en bonneterie et autres que stores d'extérieur)")</f>
        <v xml:space="preserve">   Vitrages, rideaux et stores d'intérieur ainsi que cantonnières et tours de lit, de matières textiles (autres que de coton et fibres synthétiques, autres qu'en bonneterie et autres que stores d'extérieur)</v>
      </c>
      <c r="C9258">
        <v>5512525</v>
      </c>
      <c r="D9258">
        <v>14001</v>
      </c>
    </row>
    <row r="9259" spans="1:4" x14ac:dyDescent="0.25">
      <c r="A9259" t="str">
        <f>T("   731815")</f>
        <v xml:space="preserve">   731815</v>
      </c>
      <c r="B9259" t="s">
        <v>354</v>
      </c>
      <c r="C9259">
        <v>287927</v>
      </c>
      <c r="D9259">
        <v>6</v>
      </c>
    </row>
    <row r="9260" spans="1:4" x14ac:dyDescent="0.25">
      <c r="A9260" t="str">
        <f>T("   731816")</f>
        <v xml:space="preserve">   731816</v>
      </c>
      <c r="B9260" t="str">
        <f>T("   ÉCROUS EN FONTE, FER OU ACIER")</f>
        <v xml:space="preserve">   ÉCROUS EN FONTE, FER OU ACIER</v>
      </c>
      <c r="C9260">
        <v>766607</v>
      </c>
      <c r="D9260">
        <v>80</v>
      </c>
    </row>
    <row r="9261" spans="1:4" x14ac:dyDescent="0.25">
      <c r="A9261" t="str">
        <f>T("   731822")</f>
        <v xml:space="preserve">   731822</v>
      </c>
      <c r="B9261" t="str">
        <f>T("   Rondelles en fonte, fer ou acier (sauf rondelles destinées à faire ressort et autres rondelles de blocage)")</f>
        <v xml:space="preserve">   Rondelles en fonte, fer ou acier (sauf rondelles destinées à faire ressort et autres rondelles de blocage)</v>
      </c>
      <c r="C9261">
        <v>263388</v>
      </c>
      <c r="D9261">
        <v>15</v>
      </c>
    </row>
    <row r="9262" spans="1:4" x14ac:dyDescent="0.25">
      <c r="A9262" t="str">
        <f>T("   841480")</f>
        <v xml:space="preserve">   841480</v>
      </c>
      <c r="B9262" t="s">
        <v>394</v>
      </c>
      <c r="C9262">
        <v>2983712</v>
      </c>
      <c r="D9262">
        <v>20</v>
      </c>
    </row>
    <row r="9263" spans="1:4" x14ac:dyDescent="0.25">
      <c r="A9263" t="str">
        <f>T("   842549")</f>
        <v xml:space="preserve">   842549</v>
      </c>
      <c r="B9263" t="str">
        <f>T("   Crics et vérins, non hydrauliques")</f>
        <v xml:space="preserve">   Crics et vérins, non hydrauliques</v>
      </c>
      <c r="C9263">
        <v>6753371</v>
      </c>
      <c r="D9263">
        <v>380</v>
      </c>
    </row>
    <row r="9264" spans="1:4" x14ac:dyDescent="0.25">
      <c r="A9264" t="str">
        <f>T("   843149")</f>
        <v xml:space="preserve">   843149</v>
      </c>
      <c r="B9264" t="str">
        <f>T("   Parties de machines et appareils du n° 8426, 8429 ou 8430, n.d.a.")</f>
        <v xml:space="preserve">   Parties de machines et appareils du n° 8426, 8429 ou 8430, n.d.a.</v>
      </c>
      <c r="C9264">
        <v>8254324</v>
      </c>
      <c r="D9264">
        <v>135</v>
      </c>
    </row>
    <row r="9265" spans="1:4" x14ac:dyDescent="0.25">
      <c r="A9265" t="str">
        <f>T("   848310")</f>
        <v xml:space="preserve">   848310</v>
      </c>
      <c r="B9265" t="str">
        <f>T("   Arbres de transmission pour machines, y.c. -les arbres à cames et les vilebrequins- et manivelles")</f>
        <v xml:space="preserve">   Arbres de transmission pour machines, y.c. -les arbres à cames et les vilebrequins- et manivelles</v>
      </c>
      <c r="C9265">
        <v>2302634</v>
      </c>
      <c r="D9265">
        <v>100</v>
      </c>
    </row>
    <row r="9266" spans="1:4" x14ac:dyDescent="0.25">
      <c r="A9266" t="str">
        <f>T("   848490")</f>
        <v xml:space="preserve">   848490</v>
      </c>
      <c r="B9266" t="str">
        <f>T("   Jeux ou assortiments de joints de composition différente présentés en pochettes, enveloppes ou emballages analogues")</f>
        <v xml:space="preserve">   Jeux ou assortiments de joints de composition différente présentés en pochettes, enveloppes ou emballages analogues</v>
      </c>
      <c r="C9266">
        <v>932368</v>
      </c>
      <c r="D9266">
        <v>40</v>
      </c>
    </row>
    <row r="9267" spans="1:4" x14ac:dyDescent="0.25">
      <c r="A9267" t="str">
        <f>T("   940490")</f>
        <v xml:space="preserve">   940490</v>
      </c>
      <c r="B9267" t="s">
        <v>508</v>
      </c>
      <c r="C9267">
        <v>484623</v>
      </c>
      <c r="D9267">
        <v>1440</v>
      </c>
    </row>
    <row r="9268" spans="1:4" x14ac:dyDescent="0.25">
      <c r="A9268" t="str">
        <f>T("   960310")</f>
        <v xml:space="preserve">   960310</v>
      </c>
      <c r="B9268" t="str">
        <f>T("   Balais et balayettes consistant en matières végétales en bottes liées")</f>
        <v xml:space="preserve">   Balais et balayettes consistant en matières végétales en bottes liées</v>
      </c>
      <c r="C9268">
        <v>6991071</v>
      </c>
      <c r="D9268">
        <v>16030</v>
      </c>
    </row>
    <row r="9269" spans="1:4" x14ac:dyDescent="0.25">
      <c r="A9269" t="str">
        <f>T("SZ")</f>
        <v>SZ</v>
      </c>
      <c r="B9269" t="str">
        <f>T("Swaziland")</f>
        <v>Swaziland</v>
      </c>
    </row>
    <row r="9270" spans="1:4" x14ac:dyDescent="0.25">
      <c r="A9270" t="str">
        <f>T("   ZZ_Total_Produit_SH6")</f>
        <v xml:space="preserve">   ZZ_Total_Produit_SH6</v>
      </c>
      <c r="B9270" t="str">
        <f>T("   ZZ_Total_Produit_SH6")</f>
        <v xml:space="preserve">   ZZ_Total_Produit_SH6</v>
      </c>
      <c r="C9270">
        <v>88065354</v>
      </c>
      <c r="D9270">
        <v>1461</v>
      </c>
    </row>
    <row r="9271" spans="1:4" x14ac:dyDescent="0.25">
      <c r="A9271" t="str">
        <f>T("   300220")</f>
        <v xml:space="preserve">   300220</v>
      </c>
      <c r="B9271" t="str">
        <f>T("   Vaccins pour la médecine humaine")</f>
        <v xml:space="preserve">   Vaccins pour la médecine humaine</v>
      </c>
      <c r="C9271">
        <v>83610695</v>
      </c>
      <c r="D9271">
        <v>461</v>
      </c>
    </row>
    <row r="9272" spans="1:4" x14ac:dyDescent="0.25">
      <c r="A9272" t="str">
        <f>T("   843143")</f>
        <v xml:space="preserve">   843143</v>
      </c>
      <c r="B9272" t="str">
        <f>T("   Parties de machines de sondage ou de forage du n° 8430.41 ou 8430.49, n.d.a.")</f>
        <v xml:space="preserve">   Parties de machines de sondage ou de forage du n° 8430.41 ou 8430.49, n.d.a.</v>
      </c>
      <c r="C9272">
        <v>2462283</v>
      </c>
      <c r="D9272">
        <v>200</v>
      </c>
    </row>
    <row r="9273" spans="1:4" x14ac:dyDescent="0.25">
      <c r="A9273" t="str">
        <f>T("   870322")</f>
        <v xml:space="preserve">   870322</v>
      </c>
      <c r="B9273" t="s">
        <v>475</v>
      </c>
      <c r="C9273">
        <v>1992376</v>
      </c>
      <c r="D9273">
        <v>800</v>
      </c>
    </row>
    <row r="9274" spans="1:4" x14ac:dyDescent="0.25">
      <c r="A9274" t="str">
        <f>T("TC")</f>
        <v>TC</v>
      </c>
      <c r="B9274" t="str">
        <f>T("Turks et Caïques, îles")</f>
        <v>Turks et Caïques, îles</v>
      </c>
    </row>
    <row r="9275" spans="1:4" x14ac:dyDescent="0.25">
      <c r="A9275" t="str">
        <f>T("   ZZ_Total_Produit_SH6")</f>
        <v xml:space="preserve">   ZZ_Total_Produit_SH6</v>
      </c>
      <c r="B9275" t="str">
        <f>T("   ZZ_Total_Produit_SH6")</f>
        <v xml:space="preserve">   ZZ_Total_Produit_SH6</v>
      </c>
      <c r="C9275">
        <v>50000</v>
      </c>
      <c r="D9275">
        <v>45</v>
      </c>
    </row>
    <row r="9276" spans="1:4" x14ac:dyDescent="0.25">
      <c r="A9276" t="str">
        <f>T("   970190")</f>
        <v xml:space="preserve">   970190</v>
      </c>
      <c r="B9276" t="str">
        <f>T("   Collages et tableautins simil.")</f>
        <v xml:space="preserve">   Collages et tableautins simil.</v>
      </c>
      <c r="C9276">
        <v>50000</v>
      </c>
      <c r="D9276">
        <v>45</v>
      </c>
    </row>
    <row r="9277" spans="1:4" x14ac:dyDescent="0.25">
      <c r="A9277" t="str">
        <f>T("TF")</f>
        <v>TF</v>
      </c>
      <c r="B9277" t="str">
        <f>T("Terres Australes Françaises")</f>
        <v>Terres Australes Françaises</v>
      </c>
    </row>
    <row r="9278" spans="1:4" x14ac:dyDescent="0.25">
      <c r="A9278" t="str">
        <f>T("   ZZ_Total_Produit_SH6")</f>
        <v xml:space="preserve">   ZZ_Total_Produit_SH6</v>
      </c>
      <c r="B9278" t="str">
        <f>T("   ZZ_Total_Produit_SH6")</f>
        <v xml:space="preserve">   ZZ_Total_Produit_SH6</v>
      </c>
      <c r="C9278">
        <v>55357830</v>
      </c>
      <c r="D9278">
        <v>18038</v>
      </c>
    </row>
    <row r="9279" spans="1:4" x14ac:dyDescent="0.25">
      <c r="A9279" t="str">
        <f>T("   847160")</f>
        <v xml:space="preserve">   847160</v>
      </c>
      <c r="B9279" t="str">
        <f>T("   UNITÉS D'ENTRÉE OU DE SORTIE POUR MACHINES AUTOMATIQUES DE TRAITEMENT DE L'INFORMATION, POUVANT COMPORTER, SOUS LA MÊME ENVELOPPE, DES UNITÉS DE MÉMOIRE")</f>
        <v xml:space="preserve">   UNITÉS D'ENTRÉE OU DE SORTIE POUR MACHINES AUTOMATIQUES DE TRAITEMENT DE L'INFORMATION, POUVANT COMPORTER, SOUS LA MÊME ENVELOPPE, DES UNITÉS DE MÉMOIRE</v>
      </c>
      <c r="C9279">
        <v>8222936</v>
      </c>
      <c r="D9279">
        <v>5000</v>
      </c>
    </row>
    <row r="9280" spans="1:4" x14ac:dyDescent="0.25">
      <c r="A9280" t="str">
        <f>T("   852812")</f>
        <v xml:space="preserve">   852812</v>
      </c>
      <c r="B9280"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9280">
        <v>47134894</v>
      </c>
      <c r="D9280">
        <v>13038</v>
      </c>
    </row>
    <row r="9281" spans="1:4" x14ac:dyDescent="0.25">
      <c r="A9281" t="str">
        <f>T("TG")</f>
        <v>TG</v>
      </c>
      <c r="B9281" t="str">
        <f>T("Togo")</f>
        <v>Togo</v>
      </c>
    </row>
    <row r="9282" spans="1:4" x14ac:dyDescent="0.25">
      <c r="A9282" t="str">
        <f>T("   ZZ_Total_Produit_SH6")</f>
        <v xml:space="preserve">   ZZ_Total_Produit_SH6</v>
      </c>
      <c r="B9282" t="str">
        <f>T("   ZZ_Total_Produit_SH6")</f>
        <v xml:space="preserve">   ZZ_Total_Produit_SH6</v>
      </c>
      <c r="C9282">
        <v>118020333167.63901</v>
      </c>
      <c r="D9282">
        <v>379930033.97000003</v>
      </c>
    </row>
    <row r="9283" spans="1:4" x14ac:dyDescent="0.25">
      <c r="A9283" t="str">
        <f>T("   020319")</f>
        <v xml:space="preserve">   020319</v>
      </c>
      <c r="B9283" t="str">
        <f>T("   VIANDES DES ANIMAUX DE L'ESPÈCE PORCINE, FRAÎCHES OU RÉFRIGÉRÉES (À L'EXCL. DES CARCASSES ET DEMI-CARCASSES AINSI QUE DES JAMBONS, ÉPAULES ET LEURS MORCEAUX, NON-DÉSOSSÉS)")</f>
        <v xml:space="preserve">   VIANDES DES ANIMAUX DE L'ESPÈCE PORCINE, FRAÎCHES OU RÉFRIGÉRÉES (À L'EXCL. DES CARCASSES ET DEMI-CARCASSES AINSI QUE DES JAMBONS, ÉPAULES ET LEURS MORCEAUX, NON-DÉSOSSÉS)</v>
      </c>
      <c r="C9283">
        <v>87384</v>
      </c>
      <c r="D9283">
        <v>675</v>
      </c>
    </row>
    <row r="9284" spans="1:4" x14ac:dyDescent="0.25">
      <c r="A9284" t="str">
        <f>T("   020329")</f>
        <v xml:space="preserve">   020329</v>
      </c>
      <c r="B9284" t="str">
        <f>T("   VIANDES DES ANIMAUX DE L'ESPÈCE PORCINE, CONGELÉES (À L'EXCL. DES CARCASSES OU DEMI-CARCASSES ET DES JAMBONS, ÉPAULES ET LEURS MORCEAUX, NON-DÉSOSSÉS)")</f>
        <v xml:space="preserve">   VIANDES DES ANIMAUX DE L'ESPÈCE PORCINE, CONGELÉES (À L'EXCL. DES CARCASSES OU DEMI-CARCASSES ET DES JAMBONS, ÉPAULES ET LEURS MORCEAUX, NON-DÉSOSSÉS)</v>
      </c>
      <c r="C9284">
        <v>43692</v>
      </c>
      <c r="D9284">
        <v>200</v>
      </c>
    </row>
    <row r="9285" spans="1:4" x14ac:dyDescent="0.25">
      <c r="A9285" t="str">
        <f>T("   030379")</f>
        <v xml:space="preserve">   030379</v>
      </c>
      <c r="B9285" t="s">
        <v>15</v>
      </c>
      <c r="C9285">
        <v>8690519</v>
      </c>
      <c r="D9285">
        <v>36428</v>
      </c>
    </row>
    <row r="9286" spans="1:4" x14ac:dyDescent="0.25">
      <c r="A9286" t="str">
        <f>T("   030559")</f>
        <v xml:space="preserve">   030559</v>
      </c>
      <c r="B9286" t="str">
        <f>T("   POISSONS SÉCHÉS, MÊME SALÉS, MAIS NON-FUMÉS (À L'EXCL. DES MORUES ET DE TOUS LES FILETS DE POISSONS)")</f>
        <v xml:space="preserve">   POISSONS SÉCHÉS, MÊME SALÉS, MAIS NON-FUMÉS (À L'EXCL. DES MORUES ET DE TOUS LES FILETS DE POISSONS)</v>
      </c>
      <c r="C9286">
        <v>131076</v>
      </c>
      <c r="D9286">
        <v>12080</v>
      </c>
    </row>
    <row r="9287" spans="1:4" x14ac:dyDescent="0.25">
      <c r="A9287" t="str">
        <f>T("   030623")</f>
        <v xml:space="preserve">   030623</v>
      </c>
      <c r="B9287" t="str">
        <f>T("   CREVETTES, MÊME DÉCORTIQUÉES, VIVANTES, FRAÎCHES, RÉFRIGÉRÉES, SÉCHÉES, SALÉES OU EN SAUMURE, Y.C. LES CREVETTES NON-DÉCORTIQUÉES PRÉALABLEMENT CUITES À L'EAU OU À LA VAPEUR")</f>
        <v xml:space="preserve">   CREVETTES, MÊME DÉCORTIQUÉES, VIVANTES, FRAÎCHES, RÉFRIGÉRÉES, SÉCHÉES, SALÉES OU EN SAUMURE, Y.C. LES CREVETTES NON-DÉCORTIQUÉES PRÉALABLEMENT CUITES À L'EAU OU À LA VAPEUR</v>
      </c>
      <c r="C9287">
        <v>895686</v>
      </c>
      <c r="D9287">
        <v>2590</v>
      </c>
    </row>
    <row r="9288" spans="1:4" x14ac:dyDescent="0.25">
      <c r="A9288" t="str">
        <f>T("   040210")</f>
        <v xml:space="preserve">   040210</v>
      </c>
      <c r="B9288" t="str">
        <f>T("   Lait et crème de lait, en poudre, en granulés ou sous d'autres formes solides, d'une teneur en poids de matières grasses &lt;= 1,5%")</f>
        <v xml:space="preserve">   Lait et crème de lait, en poudre, en granulés ou sous d'autres formes solides, d'une teneur en poids de matières grasses &lt;= 1,5%</v>
      </c>
      <c r="C9288">
        <v>283990849</v>
      </c>
      <c r="D9288">
        <v>125244</v>
      </c>
    </row>
    <row r="9289" spans="1:4" x14ac:dyDescent="0.25">
      <c r="A9289" t="str">
        <f>T("   040221")</f>
        <v xml:space="preserve">   040221</v>
      </c>
      <c r="B9289" t="str">
        <f>T("   Lait et crème de lait, en poudre, en granulés ou sous d'autres formes solides, d'une teneur en poids de matières grasses &gt; 1,5%, sans addition de sucre ou d'autres édulcorants")</f>
        <v xml:space="preserve">   Lait et crème de lait, en poudre, en granulés ou sous d'autres formes solides, d'une teneur en poids de matières grasses &gt; 1,5%, sans addition de sucre ou d'autres édulcorants</v>
      </c>
      <c r="C9289">
        <v>190260837</v>
      </c>
      <c r="D9289">
        <v>54721</v>
      </c>
    </row>
    <row r="9290" spans="1:4" x14ac:dyDescent="0.25">
      <c r="A9290" t="str">
        <f>T("   040229")</f>
        <v xml:space="preserve">   040229</v>
      </c>
      <c r="B9290" t="str">
        <f>T("   Lait et crème de lait, en poudre, en granulés ou sous d'autres formes solides, d'une teneur en poids de matières grasses &gt; 1,5%, avec addition de sucre ou d'autres édulcorants")</f>
        <v xml:space="preserve">   Lait et crème de lait, en poudre, en granulés ou sous d'autres formes solides, d'une teneur en poids de matières grasses &gt; 1,5%, avec addition de sucre ou d'autres édulcorants</v>
      </c>
      <c r="C9290">
        <v>14170</v>
      </c>
      <c r="D9290">
        <v>600</v>
      </c>
    </row>
    <row r="9291" spans="1:4" x14ac:dyDescent="0.25">
      <c r="A9291" t="str">
        <f>T("   040291")</f>
        <v xml:space="preserve">   040291</v>
      </c>
      <c r="B9291" t="str">
        <f>T("   Lait et crème de lait, concentrés, sans addition de sucre ou d'autres édulcorants (à l'excl. des laits et crèmes de lait en poudre, en granulés ou sous d'autres formes solides)")</f>
        <v xml:space="preserve">   Lait et crème de lait, concentrés, sans addition de sucre ou d'autres édulcorants (à l'excl. des laits et crèmes de lait en poudre, en granulés ou sous d'autres formes solides)</v>
      </c>
      <c r="C9291">
        <v>18042155</v>
      </c>
      <c r="D9291">
        <v>49360</v>
      </c>
    </row>
    <row r="9292" spans="1:4" x14ac:dyDescent="0.25">
      <c r="A9292" t="str">
        <f>T("   040299")</f>
        <v xml:space="preserve">   040299</v>
      </c>
      <c r="B9292" t="str">
        <f>T("   Lait et crème de lait, concentrés, additionnés de sucre ou d'autres édulcorants (à l'excl. des laits et crèmes de lait en poudre, en granulés ou sous d'autres formes solides)")</f>
        <v xml:space="preserve">   Lait et crème de lait, concentrés, additionnés de sucre ou d'autres édulcorants (à l'excl. des laits et crèmes de lait en poudre, en granulés ou sous d'autres formes solides)</v>
      </c>
      <c r="C9292">
        <v>39715489</v>
      </c>
      <c r="D9292">
        <v>107700</v>
      </c>
    </row>
    <row r="9293" spans="1:4" x14ac:dyDescent="0.25">
      <c r="A9293" t="str">
        <f>T("   040310")</f>
        <v xml:space="preserve">   040310</v>
      </c>
      <c r="B9293" t="str">
        <f>T("   Yoghourts, même additionnés de sucre ou d'autres édulcorants ou aromatisés ou additionnés de fruits ou de cacao")</f>
        <v xml:space="preserve">   Yoghourts, même additionnés de sucre ou d'autres édulcorants ou aromatisés ou additionnés de fruits ou de cacao</v>
      </c>
      <c r="C9293">
        <v>510042846</v>
      </c>
      <c r="D9293">
        <v>869350</v>
      </c>
    </row>
    <row r="9294" spans="1:4" x14ac:dyDescent="0.25">
      <c r="A9294" t="str">
        <f>T("   040390")</f>
        <v xml:space="preserve">   040390</v>
      </c>
      <c r="B9294" t="str">
        <f>T("   Babeurre, lait et crème caillés, képhir et autres laits et crèmes fermentés ou acidifiés, même concentrés ou additionnés de sucre ou d'autres édulcorants ou aromatisés ou additionnés de fruits ou de cacao (à l'excl. des yoghourts)")</f>
        <v xml:space="preserve">   Babeurre, lait et crème caillés, képhir et autres laits et crèmes fermentés ou acidifiés, même concentrés ou additionnés de sucre ou d'autres édulcorants ou aromatisés ou additionnés de fruits ou de cacao (à l'excl. des yoghourts)</v>
      </c>
      <c r="C9294">
        <v>227344699</v>
      </c>
      <c r="D9294">
        <v>480735</v>
      </c>
    </row>
    <row r="9295" spans="1:4" x14ac:dyDescent="0.25">
      <c r="A9295" t="str">
        <f>T("   040510")</f>
        <v xml:space="preserve">   040510</v>
      </c>
      <c r="B9295" t="str">
        <f>T("   Beurre (sauf beurre déshydraté et ghee)")</f>
        <v xml:space="preserve">   Beurre (sauf beurre déshydraté et ghee)</v>
      </c>
      <c r="C9295">
        <v>2816322</v>
      </c>
      <c r="D9295">
        <v>21151</v>
      </c>
    </row>
    <row r="9296" spans="1:4" x14ac:dyDescent="0.25">
      <c r="A9296" t="str">
        <f>T("   040630")</f>
        <v xml:space="preserve">   040630</v>
      </c>
      <c r="B9296" t="str">
        <f>T("   Fromages fondus (à l'excl. des fromages râpés ou en poudre)")</f>
        <v xml:space="preserve">   Fromages fondus (à l'excl. des fromages râpés ou en poudre)</v>
      </c>
      <c r="C9296">
        <v>1839432</v>
      </c>
      <c r="D9296">
        <v>8160</v>
      </c>
    </row>
    <row r="9297" spans="1:4" x14ac:dyDescent="0.25">
      <c r="A9297" t="str">
        <f>T("   040690")</f>
        <v xml:space="preserve">   040690</v>
      </c>
      <c r="B9297" t="s">
        <v>17</v>
      </c>
      <c r="C9297">
        <v>1609230</v>
      </c>
      <c r="D9297">
        <v>12060</v>
      </c>
    </row>
    <row r="9298" spans="1:4" x14ac:dyDescent="0.25">
      <c r="A9298" t="str">
        <f>T("   040700")</f>
        <v xml:space="preserve">   040700</v>
      </c>
      <c r="B9298" t="str">
        <f>T("   Oeufs d'oiseaux, en coquilles, frais, conservés ou cuits")</f>
        <v xml:space="preserve">   Oeufs d'oiseaux, en coquilles, frais, conservés ou cuits</v>
      </c>
      <c r="C9298">
        <v>3388034</v>
      </c>
      <c r="D9298">
        <v>7976</v>
      </c>
    </row>
    <row r="9299" spans="1:4" x14ac:dyDescent="0.25">
      <c r="A9299" t="str">
        <f>T("   060290")</f>
        <v xml:space="preserve">   060290</v>
      </c>
      <c r="B9299" t="s">
        <v>18</v>
      </c>
      <c r="C9299">
        <v>1504250</v>
      </c>
      <c r="D9299">
        <v>24860</v>
      </c>
    </row>
    <row r="9300" spans="1:4" x14ac:dyDescent="0.25">
      <c r="A9300" t="str">
        <f>T("   060390")</f>
        <v xml:space="preserve">   060390</v>
      </c>
      <c r="B9300" t="str">
        <f>T("   Fleurs et boutons de fleurs, coupés, pour bouquets ou pour ornements, séchés, blanchis, teints, imprégnés ou autrement préparés")</f>
        <v xml:space="preserve">   Fleurs et boutons de fleurs, coupés, pour bouquets ou pour ornements, séchés, blanchis, teints, imprégnés ou autrement préparés</v>
      </c>
      <c r="C9300">
        <v>500000</v>
      </c>
      <c r="D9300">
        <v>1700</v>
      </c>
    </row>
    <row r="9301" spans="1:4" x14ac:dyDescent="0.25">
      <c r="A9301" t="str">
        <f>T("   060410")</f>
        <v xml:space="preserve">   060410</v>
      </c>
      <c r="B9301" t="str">
        <f>T("   Mousses et lichens, pour bouquets ou pour ornements, frais, séchés, blanchis, teints, imprégnés ou autrement préparés")</f>
        <v xml:space="preserve">   Mousses et lichens, pour bouquets ou pour ornements, frais, séchés, blanchis, teints, imprégnés ou autrement préparés</v>
      </c>
      <c r="C9301">
        <v>21846</v>
      </c>
      <c r="D9301">
        <v>30</v>
      </c>
    </row>
    <row r="9302" spans="1:4" x14ac:dyDescent="0.25">
      <c r="A9302" t="str">
        <f>T("   070190")</f>
        <v xml:space="preserve">   070190</v>
      </c>
      <c r="B9302" t="str">
        <f>T("   Pommes de terre, à l'état frais ou réfrigéré (à l'excl. des pommes de terre de semence)")</f>
        <v xml:space="preserve">   Pommes de terre, à l'état frais ou réfrigéré (à l'excl. des pommes de terre de semence)</v>
      </c>
      <c r="C9302">
        <v>87384</v>
      </c>
      <c r="D9302">
        <v>3750</v>
      </c>
    </row>
    <row r="9303" spans="1:4" x14ac:dyDescent="0.25">
      <c r="A9303" t="str">
        <f>T("   070200")</f>
        <v xml:space="preserve">   070200</v>
      </c>
      <c r="B9303" t="str">
        <f>T("   Tomates, à l'état frais ou réfrigéré")</f>
        <v xml:space="preserve">   Tomates, à l'état frais ou réfrigéré</v>
      </c>
      <c r="C9303">
        <v>567996</v>
      </c>
      <c r="D9303">
        <v>48160</v>
      </c>
    </row>
    <row r="9304" spans="1:4" x14ac:dyDescent="0.25">
      <c r="A9304" t="str">
        <f>T("   070310")</f>
        <v xml:space="preserve">   070310</v>
      </c>
      <c r="B9304" t="str">
        <f>T("   Oignons et échalotes, à l'état frais ou réfrigéré")</f>
        <v xml:space="preserve">   Oignons et échalotes, à l'état frais ou réfrigéré</v>
      </c>
      <c r="C9304">
        <v>43692</v>
      </c>
      <c r="D9304">
        <v>750</v>
      </c>
    </row>
    <row r="9305" spans="1:4" x14ac:dyDescent="0.25">
      <c r="A9305" t="str">
        <f>T("   070320")</f>
        <v xml:space="preserve">   070320</v>
      </c>
      <c r="B9305" t="str">
        <f>T("   Aulx, à l'état frais ou réfrigéré")</f>
        <v xml:space="preserve">   Aulx, à l'état frais ou réfrigéré</v>
      </c>
      <c r="C9305">
        <v>65538</v>
      </c>
      <c r="D9305">
        <v>150</v>
      </c>
    </row>
    <row r="9306" spans="1:4" x14ac:dyDescent="0.25">
      <c r="A9306" t="str">
        <f>T("   070960")</f>
        <v xml:space="preserve">   070960</v>
      </c>
      <c r="B9306" t="str">
        <f>T("   Piments du genre 'Capsicum' ou du genre 'Pimenta', à l'état frais ou réfrigéré")</f>
        <v xml:space="preserve">   Piments du genre 'Capsicum' ou du genre 'Pimenta', à l'état frais ou réfrigéré</v>
      </c>
      <c r="C9306">
        <v>17477</v>
      </c>
      <c r="D9306">
        <v>2600</v>
      </c>
    </row>
    <row r="9307" spans="1:4" x14ac:dyDescent="0.25">
      <c r="A9307" t="str">
        <f>T("   071010")</f>
        <v xml:space="preserve">   071010</v>
      </c>
      <c r="B9307" t="str">
        <f>T("   Pommes de terre, non cuites ou cuites à l'eau ou à la vapeur, congelées")</f>
        <v xml:space="preserve">   Pommes de terre, non cuites ou cuites à l'eau ou à la vapeur, congelées</v>
      </c>
      <c r="C9307">
        <v>2687057</v>
      </c>
      <c r="D9307">
        <v>38250</v>
      </c>
    </row>
    <row r="9308" spans="1:4" x14ac:dyDescent="0.25">
      <c r="A9308" t="str">
        <f>T("   080111")</f>
        <v xml:space="preserve">   080111</v>
      </c>
      <c r="B9308" t="str">
        <f>T("   Noix de coco, desséchées")</f>
        <v xml:space="preserve">   Noix de coco, desséchées</v>
      </c>
      <c r="C9308">
        <v>161124160</v>
      </c>
      <c r="D9308">
        <v>38403692</v>
      </c>
    </row>
    <row r="9309" spans="1:4" x14ac:dyDescent="0.25">
      <c r="A9309" t="str">
        <f>T("   080290")</f>
        <v xml:space="preserve">   080290</v>
      </c>
      <c r="B9309" t="str">
        <f>T("   FRUITS À COQUES, FRAIS OU SECS, MÊME SANS LEURS COQUES OU DÉCORTIQUÉS (À L'EXCL. DES NOIX DE COCO, DU BRÉSIL OU DE CAJOU AINSI QUE DES AMANDES, DES NOISETTES, DES NOIX COMMUNES, DES CHÂTAIGNES, DES MARRONS, DES PISTACHESE ET DES NOIX MACADAMIA)")</f>
        <v xml:space="preserve">   FRUITS À COQUES, FRAIS OU SECS, MÊME SANS LEURS COQUES OU DÉCORTIQUÉS (À L'EXCL. DES NOIX DE COCO, DU BRÉSIL OU DE CAJOU AINSI QUE DES AMANDES, DES NOISETTES, DES NOIX COMMUNES, DES CHÂTAIGNES, DES MARRONS, DES PISTACHESE ET DES NOIX MACADAMIA)</v>
      </c>
      <c r="C9309">
        <v>216100</v>
      </c>
      <c r="D9309">
        <v>4080</v>
      </c>
    </row>
    <row r="9310" spans="1:4" x14ac:dyDescent="0.25">
      <c r="A9310" t="str">
        <f>T("   080300")</f>
        <v xml:space="preserve">   080300</v>
      </c>
      <c r="B9310" t="str">
        <f>T("   Bananes, y.c. les plantains, fraîches ou sèches")</f>
        <v xml:space="preserve">   Bananes, y.c. les plantains, fraîches ou sèches</v>
      </c>
      <c r="C9310">
        <v>25166986</v>
      </c>
      <c r="D9310">
        <v>371820</v>
      </c>
    </row>
    <row r="9311" spans="1:4" x14ac:dyDescent="0.25">
      <c r="A9311" t="str">
        <f>T("   080450")</f>
        <v xml:space="preserve">   080450</v>
      </c>
      <c r="B9311" t="str">
        <f>T("   Goyaves, mangues et mangoustans, frais ou secs")</f>
        <v xml:space="preserve">   Goyaves, mangues et mangoustans, frais ou secs</v>
      </c>
      <c r="C9311">
        <v>151270</v>
      </c>
      <c r="D9311">
        <v>17540</v>
      </c>
    </row>
    <row r="9312" spans="1:4" x14ac:dyDescent="0.25">
      <c r="A9312" t="str">
        <f>T("   080610")</f>
        <v xml:space="preserve">   080610</v>
      </c>
      <c r="B9312" t="str">
        <f>T("   Raisins, frais")</f>
        <v xml:space="preserve">   Raisins, frais</v>
      </c>
      <c r="C9312">
        <v>2296059</v>
      </c>
      <c r="D9312">
        <v>16600</v>
      </c>
    </row>
    <row r="9313" spans="1:4" x14ac:dyDescent="0.25">
      <c r="A9313" t="str">
        <f>T("   080810")</f>
        <v xml:space="preserve">   080810</v>
      </c>
      <c r="B9313" t="str">
        <f>T("   Pommes, fraîches")</f>
        <v xml:space="preserve">   Pommes, fraîches</v>
      </c>
      <c r="C9313">
        <v>37104427</v>
      </c>
      <c r="D9313">
        <v>322908</v>
      </c>
    </row>
    <row r="9314" spans="1:4" x14ac:dyDescent="0.25">
      <c r="A9314" t="str">
        <f>T("   080820")</f>
        <v xml:space="preserve">   080820</v>
      </c>
      <c r="B9314" t="str">
        <f>T("   Poires et coings, frais")</f>
        <v xml:space="preserve">   Poires et coings, frais</v>
      </c>
      <c r="C9314">
        <v>2056126</v>
      </c>
      <c r="D9314">
        <v>22772</v>
      </c>
    </row>
    <row r="9315" spans="1:4" x14ac:dyDescent="0.25">
      <c r="A9315" t="str">
        <f>T("   081330")</f>
        <v xml:space="preserve">   081330</v>
      </c>
      <c r="B9315" t="str">
        <f>T("   Pommes, séchées")</f>
        <v xml:space="preserve">   Pommes, séchées</v>
      </c>
      <c r="C9315">
        <v>75633</v>
      </c>
      <c r="D9315">
        <v>1750</v>
      </c>
    </row>
    <row r="9316" spans="1:4" x14ac:dyDescent="0.25">
      <c r="A9316" t="str">
        <f>T("   081340")</f>
        <v xml:space="preserve">   081340</v>
      </c>
      <c r="B9316" t="str">
        <f>T("   PÊCHES, POIRES, PAPAYES, TAMARINS ET AUTRES FRUITS COMESTIBLES, SÉCHÉS (SAUF FRUITS À COQUE, BANANES, DATTES, FIGUES, ANANAS, AVOCATS, GOYAVES, MANGUES, MAGOUSTANS, AGRUMES, RAISINS, ABRICOTS, PRUNES ET POMMES, NON-MÉLANGÉS)")</f>
        <v xml:space="preserve">   PÊCHES, POIRES, PAPAYES, TAMARINS ET AUTRES FRUITS COMESTIBLES, SÉCHÉS (SAUF FRUITS À COQUE, BANANES, DATTES, FIGUES, ANANAS, AVOCATS, GOYAVES, MANGUES, MAGOUSTANS, AGRUMES, RAISINS, ABRICOTS, PRUNES ET POMMES, NON-MÉLANGÉS)</v>
      </c>
      <c r="C9316">
        <v>43220</v>
      </c>
      <c r="D9316">
        <v>1800</v>
      </c>
    </row>
    <row r="9317" spans="1:4" x14ac:dyDescent="0.25">
      <c r="A9317" t="str">
        <f>T("   090111")</f>
        <v xml:space="preserve">   090111</v>
      </c>
      <c r="B9317" t="str">
        <f>T("   Café, non torréfié, non décaféiné")</f>
        <v xml:space="preserve">   Café, non torréfié, non décaféiné</v>
      </c>
      <c r="C9317">
        <v>21077</v>
      </c>
      <c r="D9317">
        <v>50</v>
      </c>
    </row>
    <row r="9318" spans="1:4" x14ac:dyDescent="0.25">
      <c r="A9318" t="str">
        <f>T("   090112")</f>
        <v xml:space="preserve">   090112</v>
      </c>
      <c r="B9318" t="str">
        <f>T("   Café, non torréfié, décaféiné")</f>
        <v xml:space="preserve">   Café, non torréfié, décaféiné</v>
      </c>
      <c r="C9318">
        <v>200000</v>
      </c>
      <c r="D9318">
        <v>2000</v>
      </c>
    </row>
    <row r="9319" spans="1:4" x14ac:dyDescent="0.25">
      <c r="A9319" t="str">
        <f>T("   090190")</f>
        <v xml:space="preserve">   090190</v>
      </c>
      <c r="B9319" t="str">
        <f>T("   Coques et pellicules de café; succédanés du café contenant du café, quelles que soient les proportions du mélange")</f>
        <v xml:space="preserve">   Coques et pellicules de café; succédanés du café contenant du café, quelles que soient les proportions du mélange</v>
      </c>
      <c r="C9319">
        <v>25058837</v>
      </c>
      <c r="D9319">
        <v>83309</v>
      </c>
    </row>
    <row r="9320" spans="1:4" x14ac:dyDescent="0.25">
      <c r="A9320" t="str">
        <f>T("   090210")</f>
        <v xml:space="preserve">   090210</v>
      </c>
      <c r="B9320" t="str">
        <f>T("   Thé vert [thé non fermenté], présenté en emballages immédiats d'un contenu &lt;= 3 kg")</f>
        <v xml:space="preserve">   Thé vert [thé non fermenté], présenté en emballages immédiats d'un contenu &lt;= 3 kg</v>
      </c>
      <c r="C9320">
        <v>2000000</v>
      </c>
      <c r="D9320">
        <v>7900</v>
      </c>
    </row>
    <row r="9321" spans="1:4" x14ac:dyDescent="0.25">
      <c r="A9321" t="str">
        <f>T("   090220")</f>
        <v xml:space="preserve">   090220</v>
      </c>
      <c r="B9321" t="str">
        <f>T("   Thé vert [thé non fermenté], présenté en emballages immédiats d'un contenu &gt; 3 kg")</f>
        <v xml:space="preserve">   Thé vert [thé non fermenté], présenté en emballages immédiats d'un contenu &gt; 3 kg</v>
      </c>
      <c r="C9321">
        <v>698182</v>
      </c>
      <c r="D9321">
        <v>1250</v>
      </c>
    </row>
    <row r="9322" spans="1:4" x14ac:dyDescent="0.25">
      <c r="A9322" t="str">
        <f>T("   090240")</f>
        <v xml:space="preserve">   090240</v>
      </c>
      <c r="B9322" t="s">
        <v>25</v>
      </c>
      <c r="C9322">
        <v>2036365</v>
      </c>
      <c r="D9322">
        <v>7060</v>
      </c>
    </row>
    <row r="9323" spans="1:4" x14ac:dyDescent="0.25">
      <c r="A9323" t="str">
        <f>T("   090300")</f>
        <v xml:space="preserve">   090300</v>
      </c>
      <c r="B9323" t="str">
        <f>T("   Maté")</f>
        <v xml:space="preserve">   Maté</v>
      </c>
      <c r="C9323">
        <v>600000</v>
      </c>
      <c r="D9323">
        <v>2000</v>
      </c>
    </row>
    <row r="9324" spans="1:4" x14ac:dyDescent="0.25">
      <c r="A9324" t="str">
        <f>T("   090412")</f>
        <v xml:space="preserve">   090412</v>
      </c>
      <c r="B9324" t="str">
        <f>T("   Poivre du genre 'Piper', broyé ou pulvérisé")</f>
        <v xml:space="preserve">   Poivre du genre 'Piper', broyé ou pulvérisé</v>
      </c>
      <c r="C9324">
        <v>64827</v>
      </c>
      <c r="D9324">
        <v>720</v>
      </c>
    </row>
    <row r="9325" spans="1:4" x14ac:dyDescent="0.25">
      <c r="A9325" t="str">
        <f>T("   090420")</f>
        <v xml:space="preserve">   090420</v>
      </c>
      <c r="B9325" t="str">
        <f>T("   Piments du genre 'Capsicum' ou du genre 'Pimenta', séchés ou broyés ou pulvérisés")</f>
        <v xml:space="preserve">   Piments du genre 'Capsicum' ou du genre 'Pimenta', séchés ou broyés ou pulvérisés</v>
      </c>
      <c r="C9325">
        <v>17288</v>
      </c>
      <c r="D9325">
        <v>800</v>
      </c>
    </row>
    <row r="9326" spans="1:4" x14ac:dyDescent="0.25">
      <c r="A9326" t="str">
        <f>T("   091091")</f>
        <v xml:space="preserve">   091091</v>
      </c>
      <c r="B9326" t="str">
        <f>T("   Mélanges d'épices")</f>
        <v xml:space="preserve">   Mélanges d'épices</v>
      </c>
      <c r="C9326">
        <v>321556</v>
      </c>
      <c r="D9326">
        <v>1860</v>
      </c>
    </row>
    <row r="9327" spans="1:4" x14ac:dyDescent="0.25">
      <c r="A9327" t="str">
        <f>T("   091099")</f>
        <v xml:space="preserve">   091099</v>
      </c>
      <c r="B9327" t="s">
        <v>26</v>
      </c>
      <c r="C9327">
        <v>203000</v>
      </c>
      <c r="D9327">
        <v>625</v>
      </c>
    </row>
    <row r="9328" spans="1:4" x14ac:dyDescent="0.25">
      <c r="A9328" t="str">
        <f>T("   100590")</f>
        <v xml:space="preserve">   100590</v>
      </c>
      <c r="B9328" t="str">
        <f>T("   Maïs (autre que de semence)")</f>
        <v xml:space="preserve">   Maïs (autre que de semence)</v>
      </c>
      <c r="C9328">
        <v>1959182</v>
      </c>
      <c r="D9328">
        <v>2950</v>
      </c>
    </row>
    <row r="9329" spans="1:4" x14ac:dyDescent="0.25">
      <c r="A9329" t="str">
        <f>T("   100610")</f>
        <v xml:space="preserve">   100610</v>
      </c>
      <c r="B9329" t="str">
        <f>T("   Riz en paille [riz paddy]")</f>
        <v xml:space="preserve">   Riz en paille [riz paddy]</v>
      </c>
      <c r="C9329">
        <v>1163828</v>
      </c>
      <c r="D9329">
        <v>1760</v>
      </c>
    </row>
    <row r="9330" spans="1:4" x14ac:dyDescent="0.25">
      <c r="A9330" t="str">
        <f>T("   100620")</f>
        <v xml:space="preserve">   100620</v>
      </c>
      <c r="B9330" t="str">
        <f>T("   Riz décortiqué [riz cargo ou riz brun]")</f>
        <v xml:space="preserve">   Riz décortiqué [riz cargo ou riz brun]</v>
      </c>
      <c r="C9330">
        <v>354161.179</v>
      </c>
      <c r="D9330">
        <v>1100</v>
      </c>
    </row>
    <row r="9331" spans="1:4" x14ac:dyDescent="0.25">
      <c r="A9331" t="str">
        <f>T("   100630")</f>
        <v xml:space="preserve">   100630</v>
      </c>
      <c r="B9331" t="str">
        <f>T("   Riz semi-blanchi ou blanchi, même poli ou glacé")</f>
        <v xml:space="preserve">   Riz semi-blanchi ou blanchi, même poli ou glacé</v>
      </c>
      <c r="C9331">
        <v>959728746.85500002</v>
      </c>
      <c r="D9331">
        <v>3369690</v>
      </c>
    </row>
    <row r="9332" spans="1:4" x14ac:dyDescent="0.25">
      <c r="A9332" t="str">
        <f>T("   110100")</f>
        <v xml:space="preserve">   110100</v>
      </c>
      <c r="B9332" t="str">
        <f>T("   Farines de froment [blé] ou de méteil")</f>
        <v xml:space="preserve">   Farines de froment [blé] ou de méteil</v>
      </c>
      <c r="C9332">
        <v>251894.33300000001</v>
      </c>
      <c r="D9332">
        <v>917</v>
      </c>
    </row>
    <row r="9333" spans="1:4" x14ac:dyDescent="0.25">
      <c r="A9333" t="str">
        <f>T("   110220")</f>
        <v xml:space="preserve">   110220</v>
      </c>
      <c r="B9333" t="str">
        <f>T("   Farine de maïs")</f>
        <v xml:space="preserve">   Farine de maïs</v>
      </c>
      <c r="C9333">
        <v>1092300</v>
      </c>
      <c r="D9333">
        <v>4500</v>
      </c>
    </row>
    <row r="9334" spans="1:4" x14ac:dyDescent="0.25">
      <c r="A9334" t="str">
        <f>T("   110311")</f>
        <v xml:space="preserve">   110311</v>
      </c>
      <c r="B9334" t="str">
        <f>T("   Gruaux et semoules de froment [blé]")</f>
        <v xml:space="preserve">   Gruaux et semoules de froment [blé]</v>
      </c>
      <c r="C9334">
        <v>4304582</v>
      </c>
      <c r="D9334">
        <v>13223</v>
      </c>
    </row>
    <row r="9335" spans="1:4" x14ac:dyDescent="0.25">
      <c r="A9335" t="str">
        <f>T("   110620")</f>
        <v xml:space="preserve">   110620</v>
      </c>
      <c r="B9335" t="str">
        <f>T("   Farines, semoules et poudres de sagou ou des racines ou tubercules du n° 0714")</f>
        <v xml:space="preserve">   Farines, semoules et poudres de sagou ou des racines ou tubercules du n° 0714</v>
      </c>
      <c r="C9335">
        <v>39323</v>
      </c>
      <c r="D9335">
        <v>180</v>
      </c>
    </row>
    <row r="9336" spans="1:4" x14ac:dyDescent="0.25">
      <c r="A9336" t="str">
        <f>T("   120710")</f>
        <v xml:space="preserve">   120710</v>
      </c>
      <c r="B9336" t="str">
        <f>T("   NOIX ET AMANDES DE PALMISTES")</f>
        <v xml:space="preserve">   NOIX ET AMANDES DE PALMISTES</v>
      </c>
      <c r="C9336">
        <v>95219454</v>
      </c>
      <c r="D9336">
        <v>9688870</v>
      </c>
    </row>
    <row r="9337" spans="1:4" x14ac:dyDescent="0.25">
      <c r="A9337" t="str">
        <f>T("   120890")</f>
        <v xml:space="preserve">   120890</v>
      </c>
      <c r="B9337" t="str">
        <f>T("   Farines de graines ou de fruits oléagineux (à l'excl. des farines de moutarde et de fèves de soja)")</f>
        <v xml:space="preserve">   Farines de graines ou de fruits oléagineux (à l'excl. des farines de moutarde et de fèves de soja)</v>
      </c>
      <c r="C9337">
        <v>59040</v>
      </c>
      <c r="D9337">
        <v>44</v>
      </c>
    </row>
    <row r="9338" spans="1:4" x14ac:dyDescent="0.25">
      <c r="A9338" t="str">
        <f>T("   121190")</f>
        <v xml:space="preserve">   121190</v>
      </c>
      <c r="B9338" t="s">
        <v>30</v>
      </c>
      <c r="C9338">
        <v>1145929</v>
      </c>
      <c r="D9338">
        <v>79000</v>
      </c>
    </row>
    <row r="9339" spans="1:4" x14ac:dyDescent="0.25">
      <c r="A9339" t="str">
        <f>T("   121490")</f>
        <v xml:space="preserve">   121490</v>
      </c>
      <c r="B9339" t="s">
        <v>31</v>
      </c>
      <c r="C9339">
        <v>250000</v>
      </c>
      <c r="D9339">
        <v>3140</v>
      </c>
    </row>
    <row r="9340" spans="1:4" x14ac:dyDescent="0.25">
      <c r="A9340" t="str">
        <f>T("   150710")</f>
        <v xml:space="preserve">   150710</v>
      </c>
      <c r="B9340" t="str">
        <f>T("   Huile de soja, brute, même dégommée")</f>
        <v xml:space="preserve">   Huile de soja, brute, même dégommée</v>
      </c>
      <c r="C9340">
        <v>43750</v>
      </c>
      <c r="D9340">
        <v>175</v>
      </c>
    </row>
    <row r="9341" spans="1:4" x14ac:dyDescent="0.25">
      <c r="A9341" t="str">
        <f>T("   150890")</f>
        <v xml:space="preserve">   150890</v>
      </c>
      <c r="B9341" t="str">
        <f>T("   Huile d'arachide et ses fractions, même raffinées, mais non chimiquement modifiées (à l'excl. de l'huile d'arachide brute)")</f>
        <v xml:space="preserve">   Huile d'arachide et ses fractions, même raffinées, mais non chimiquement modifiées (à l'excl. de l'huile d'arachide brute)</v>
      </c>
      <c r="C9341">
        <v>230948.38200000001</v>
      </c>
      <c r="D9341">
        <v>587</v>
      </c>
    </row>
    <row r="9342" spans="1:4" x14ac:dyDescent="0.25">
      <c r="A9342" t="str">
        <f>T("   151110")</f>
        <v xml:space="preserve">   151110</v>
      </c>
      <c r="B9342" t="str">
        <f>T("   Huile de palme, brute")</f>
        <v xml:space="preserve">   Huile de palme, brute</v>
      </c>
      <c r="C9342">
        <v>106319315</v>
      </c>
      <c r="D9342">
        <v>425277.26</v>
      </c>
    </row>
    <row r="9343" spans="1:4" x14ac:dyDescent="0.25">
      <c r="A9343" t="str">
        <f>T("   151190")</f>
        <v xml:space="preserve">   151190</v>
      </c>
      <c r="B9343" t="str">
        <f>T("   Huile de palme et ses fractions, même raffinées, mais non chimiquement modifiées (à l'excl. de l'huile de palme brute)")</f>
        <v xml:space="preserve">   Huile de palme et ses fractions, même raffinées, mais non chimiquement modifiées (à l'excl. de l'huile de palme brute)</v>
      </c>
      <c r="C9343">
        <v>914624742.44799995</v>
      </c>
      <c r="D9343">
        <v>2039419.04</v>
      </c>
    </row>
    <row r="9344" spans="1:4" x14ac:dyDescent="0.25">
      <c r="A9344" t="str">
        <f>T("   151229")</f>
        <v xml:space="preserve">   151229</v>
      </c>
      <c r="B9344" t="str">
        <f>T("   Huile de coton et ses fractions, même dépourvues de gossipol ou raffinées, mais non chimiquement modifiées (à l'excl. de l'huile de coton brute)")</f>
        <v xml:space="preserve">   Huile de coton et ses fractions, même dépourvues de gossipol ou raffinées, mais non chimiquement modifiées (à l'excl. de l'huile de coton brute)</v>
      </c>
      <c r="C9344">
        <v>454989350</v>
      </c>
      <c r="D9344">
        <v>1819957.4</v>
      </c>
    </row>
    <row r="9345" spans="1:4" x14ac:dyDescent="0.25">
      <c r="A9345" t="str">
        <f>T("   151311")</f>
        <v xml:space="preserve">   151311</v>
      </c>
      <c r="B9345" t="str">
        <f>T("   Huile de coco [coprah], brute")</f>
        <v xml:space="preserve">   Huile de coco [coprah], brute</v>
      </c>
      <c r="C9345">
        <v>476000</v>
      </c>
      <c r="D9345">
        <v>1904</v>
      </c>
    </row>
    <row r="9346" spans="1:4" x14ac:dyDescent="0.25">
      <c r="A9346" t="str">
        <f>T("   151321")</f>
        <v xml:space="preserve">   151321</v>
      </c>
      <c r="B9346" t="str">
        <f>T("   Huiles de palmiste ou de babassu, brutes")</f>
        <v xml:space="preserve">   Huiles de palmiste ou de babassu, brutes</v>
      </c>
      <c r="C9346">
        <v>21447750</v>
      </c>
      <c r="D9346">
        <v>85791</v>
      </c>
    </row>
    <row r="9347" spans="1:4" x14ac:dyDescent="0.25">
      <c r="A9347" t="str">
        <f>T("   151329")</f>
        <v xml:space="preserve">   151329</v>
      </c>
      <c r="B9347" t="str">
        <f>T("   Huiles de palmiste ou de babassu et leurs fractions, même raffinées, mais non chimiquement modifiées (à l'excl. des huiles brutes)")</f>
        <v xml:space="preserve">   Huiles de palmiste ou de babassu et leurs fractions, même raffinées, mais non chimiquement modifiées (à l'excl. des huiles brutes)</v>
      </c>
      <c r="C9347">
        <v>525000</v>
      </c>
      <c r="D9347">
        <v>2100</v>
      </c>
    </row>
    <row r="9348" spans="1:4" x14ac:dyDescent="0.25">
      <c r="A9348" t="str">
        <f>T("   151590")</f>
        <v xml:space="preserve">   151590</v>
      </c>
      <c r="B9348" t="s">
        <v>34</v>
      </c>
      <c r="C9348">
        <v>140000</v>
      </c>
      <c r="D9348">
        <v>560</v>
      </c>
    </row>
    <row r="9349" spans="1:4" x14ac:dyDescent="0.25">
      <c r="A9349" t="str">
        <f>T("   151620")</f>
        <v xml:space="preserve">   151620</v>
      </c>
      <c r="B9349" t="str">
        <f>T("   Graisses et huiles végétales et leurs fractions, partiellement ou totalement hydrogénées, interestérifiées, réestérifiées ou élaïdinisées, même raffinées, mais non autrement préparées")</f>
        <v xml:space="preserve">   Graisses et huiles végétales et leurs fractions, partiellement ou totalement hydrogénées, interestérifiées, réestérifiées ou élaïdinisées, même raffinées, mais non autrement préparées</v>
      </c>
      <c r="C9349">
        <v>13862848</v>
      </c>
      <c r="D9349">
        <v>78493</v>
      </c>
    </row>
    <row r="9350" spans="1:4" x14ac:dyDescent="0.25">
      <c r="A9350" t="str">
        <f>T("   151710")</f>
        <v xml:space="preserve">   151710</v>
      </c>
      <c r="B9350" t="str">
        <f>T("   Margarine (à l'excl. de la margarine liquide)")</f>
        <v xml:space="preserve">   Margarine (à l'excl. de la margarine liquide)</v>
      </c>
      <c r="C9350">
        <v>41759923</v>
      </c>
      <c r="D9350">
        <v>126994</v>
      </c>
    </row>
    <row r="9351" spans="1:4" x14ac:dyDescent="0.25">
      <c r="A9351" t="str">
        <f>T("   160100")</f>
        <v xml:space="preserve">   160100</v>
      </c>
      <c r="B9351" t="str">
        <f>T("   Saucisses, saucissons et produits simil., de viande, d'abats ou de sang; préparations alimentaires à base de ces produits")</f>
        <v xml:space="preserve">   Saucisses, saucissons et produits simil., de viande, d'abats ou de sang; préparations alimentaires à base de ces produits</v>
      </c>
      <c r="C9351">
        <v>294921</v>
      </c>
      <c r="D9351">
        <v>443</v>
      </c>
    </row>
    <row r="9352" spans="1:4" x14ac:dyDescent="0.25">
      <c r="A9352" t="str">
        <f>T("   160239")</f>
        <v xml:space="preserve">   160239</v>
      </c>
      <c r="B9352" t="s">
        <v>39</v>
      </c>
      <c r="C9352">
        <v>24000000</v>
      </c>
      <c r="D9352">
        <v>106517</v>
      </c>
    </row>
    <row r="9353" spans="1:4" x14ac:dyDescent="0.25">
      <c r="A9353" t="str">
        <f>T("   160250")</f>
        <v xml:space="preserve">   160250</v>
      </c>
      <c r="B9353" t="s">
        <v>41</v>
      </c>
      <c r="C9353">
        <v>26324334</v>
      </c>
      <c r="D9353">
        <v>19710</v>
      </c>
    </row>
    <row r="9354" spans="1:4" x14ac:dyDescent="0.25">
      <c r="A9354" t="str">
        <f>T("   160413")</f>
        <v xml:space="preserve">   160413</v>
      </c>
      <c r="B9354" t="str">
        <f>T("   Préparations et conserves de sardines, sardinelles, sprats ou esprots, entiers ou en morceaux (à l'excl. des préparations et conserves de poissons hachés)")</f>
        <v xml:space="preserve">   Préparations et conserves de sardines, sardinelles, sprats ou esprots, entiers ou en morceaux (à l'excl. des préparations et conserves de poissons hachés)</v>
      </c>
      <c r="C9354">
        <v>18004023</v>
      </c>
      <c r="D9354">
        <v>58612</v>
      </c>
    </row>
    <row r="9355" spans="1:4" x14ac:dyDescent="0.25">
      <c r="A9355" t="str">
        <f>T("   160420")</f>
        <v xml:space="preserve">   160420</v>
      </c>
      <c r="B9355" t="str">
        <f>T("   Préparations et conserves de poissons (à l'excl. des préparations et conserves de poissons entiers ou en morceaux)")</f>
        <v xml:space="preserve">   Préparations et conserves de poissons (à l'excl. des préparations et conserves de poissons entiers ou en morceaux)</v>
      </c>
      <c r="C9355">
        <v>196614</v>
      </c>
      <c r="D9355">
        <v>850</v>
      </c>
    </row>
    <row r="9356" spans="1:4" x14ac:dyDescent="0.25">
      <c r="A9356" t="str">
        <f>T("   160520")</f>
        <v xml:space="preserve">   160520</v>
      </c>
      <c r="B9356" t="str">
        <f>T("   Crevettes, préparées ou conservées")</f>
        <v xml:space="preserve">   Crevettes, préparées ou conservées</v>
      </c>
      <c r="C9356">
        <v>546150</v>
      </c>
      <c r="D9356">
        <v>3675</v>
      </c>
    </row>
    <row r="9357" spans="1:4" x14ac:dyDescent="0.25">
      <c r="A9357" t="str">
        <f>T("   170111")</f>
        <v xml:space="preserve">   170111</v>
      </c>
      <c r="B9357" t="str">
        <f>T("   Sucres de canne, bruts, sans addition d'aromatisants ou de colorants")</f>
        <v xml:space="preserve">   Sucres de canne, bruts, sans addition d'aromatisants ou de colorants</v>
      </c>
      <c r="C9357">
        <v>63622800</v>
      </c>
      <c r="D9357">
        <v>208600</v>
      </c>
    </row>
    <row r="9358" spans="1:4" x14ac:dyDescent="0.25">
      <c r="A9358" t="str">
        <f>T("   170191")</f>
        <v xml:space="preserve">   170191</v>
      </c>
      <c r="B9358" t="str">
        <f>T("   Sucres de canne ou de betterave, à l'état solide, additionnés d'aromatisants ou de colorants")</f>
        <v xml:space="preserve">   Sucres de canne ou de betterave, à l'état solide, additionnés d'aromatisants ou de colorants</v>
      </c>
      <c r="C9358">
        <v>312935608.44099998</v>
      </c>
      <c r="D9358">
        <v>2295540</v>
      </c>
    </row>
    <row r="9359" spans="1:4" x14ac:dyDescent="0.25">
      <c r="A9359" t="str">
        <f>T("   170199")</f>
        <v xml:space="preserve">   170199</v>
      </c>
      <c r="B9359" t="str">
        <f>T("   Sucres de canne ou de betterave et saccharose chimiquement pur, à l'état solide (à l'excl. des sucres bruts et des sucres de canne ou de betterave additionnés d'aromatisants ou de colorants)")</f>
        <v xml:space="preserve">   Sucres de canne ou de betterave et saccharose chimiquement pur, à l'état solide (à l'excl. des sucres bruts et des sucres de canne ou de betterave additionnés d'aromatisants ou de colorants)</v>
      </c>
      <c r="C9359">
        <v>188052920</v>
      </c>
      <c r="D9359">
        <v>1329645</v>
      </c>
    </row>
    <row r="9360" spans="1:4" x14ac:dyDescent="0.25">
      <c r="A9360" t="str">
        <f>T("   170410")</f>
        <v xml:space="preserve">   170410</v>
      </c>
      <c r="B9360" t="str">
        <f>T("   Gommes à mâcher [chewing-gum], même enrobées de sucre")</f>
        <v xml:space="preserve">   Gommes à mâcher [chewing-gum], même enrobées de sucre</v>
      </c>
      <c r="C9360">
        <v>56494159</v>
      </c>
      <c r="D9360">
        <v>237441</v>
      </c>
    </row>
    <row r="9361" spans="1:4" x14ac:dyDescent="0.25">
      <c r="A9361" t="str">
        <f>T("   170490")</f>
        <v xml:space="preserve">   170490</v>
      </c>
      <c r="B9361" t="str">
        <f>T("   Sucreries sans cacao, y.c. le chocolat blanc (à l'excl. des gommes à mâcher)")</f>
        <v xml:space="preserve">   Sucreries sans cacao, y.c. le chocolat blanc (à l'excl. des gommes à mâcher)</v>
      </c>
      <c r="C9361">
        <v>446193630</v>
      </c>
      <c r="D9361">
        <v>2411780</v>
      </c>
    </row>
    <row r="9362" spans="1:4" x14ac:dyDescent="0.25">
      <c r="A9362" t="str">
        <f>T("   180200")</f>
        <v xml:space="preserve">   180200</v>
      </c>
      <c r="B9362" t="str">
        <f>T("   Coques, pellicules [pelures] et autres déchets de cacao")</f>
        <v xml:space="preserve">   Coques, pellicules [pelures] et autres déchets de cacao</v>
      </c>
      <c r="C9362">
        <v>11024007</v>
      </c>
      <c r="D9362">
        <v>622826</v>
      </c>
    </row>
    <row r="9363" spans="1:4" x14ac:dyDescent="0.25">
      <c r="A9363" t="str">
        <f>T("   180610")</f>
        <v xml:space="preserve">   180610</v>
      </c>
      <c r="B9363" t="str">
        <f>T("   Poudre de cacao, additionnée de sucre ou d'autres édulcorants")</f>
        <v xml:space="preserve">   Poudre de cacao, additionnée de sucre ou d'autres édulcorants</v>
      </c>
      <c r="C9363">
        <v>11446540</v>
      </c>
      <c r="D9363">
        <v>54513</v>
      </c>
    </row>
    <row r="9364" spans="1:4" x14ac:dyDescent="0.25">
      <c r="A9364" t="str">
        <f>T("   180632")</f>
        <v xml:space="preserve">   180632</v>
      </c>
      <c r="B9364" t="str">
        <f>T("   CHOCOLAT ET AUTRES PRÉPARATIONS ALIMENTAIRES CONTENANT DU CACAO, PRÉSENTÉS EN TABLETTES, BARRES OU BÂTONS, D'UN POIDS &lt;= 2 KG, NON-FOURRÉS")</f>
        <v xml:space="preserve">   CHOCOLAT ET AUTRES PRÉPARATIONS ALIMENTAIRES CONTENANT DU CACAO, PRÉSENTÉS EN TABLETTES, BARRES OU BÂTONS, D'UN POIDS &lt;= 2 KG, NON-FOURRÉS</v>
      </c>
      <c r="C9364">
        <v>11885</v>
      </c>
      <c r="D9364">
        <v>10</v>
      </c>
    </row>
    <row r="9365" spans="1:4" x14ac:dyDescent="0.25">
      <c r="A9365" t="str">
        <f>T("   180690")</f>
        <v xml:space="preserve">   180690</v>
      </c>
      <c r="B9365" t="str">
        <f>T("   Chocolat et autres préparations alimentaires contenant du cacao, en récipients ou en emballages immédiats d'un contenu &lt;= 2 kg (à l'excl. de la poudre de cacao et des produits présentés en tablettes, barres ou bâtons)")</f>
        <v xml:space="preserve">   Chocolat et autres préparations alimentaires contenant du cacao, en récipients ou en emballages immédiats d'un contenu &lt;= 2 kg (à l'excl. de la poudre de cacao et des produits présentés en tablettes, barres ou bâtons)</v>
      </c>
      <c r="C9365">
        <v>45113728</v>
      </c>
      <c r="D9365">
        <v>40799</v>
      </c>
    </row>
    <row r="9366" spans="1:4" x14ac:dyDescent="0.25">
      <c r="A9366" t="str">
        <f>T("   190110")</f>
        <v xml:space="preserve">   190110</v>
      </c>
      <c r="B9366" t="s">
        <v>46</v>
      </c>
      <c r="C9366">
        <v>38732255</v>
      </c>
      <c r="D9366">
        <v>67116</v>
      </c>
    </row>
    <row r="9367" spans="1:4" x14ac:dyDescent="0.25">
      <c r="A9367" t="str">
        <f>T("   190190")</f>
        <v xml:space="preserve">   190190</v>
      </c>
      <c r="B9367" t="s">
        <v>48</v>
      </c>
      <c r="C9367">
        <v>287214261</v>
      </c>
      <c r="D9367">
        <v>1102195</v>
      </c>
    </row>
    <row r="9368" spans="1:4" x14ac:dyDescent="0.25">
      <c r="A9368" t="str">
        <f>T("   190219")</f>
        <v xml:space="preserve">   190219</v>
      </c>
      <c r="B9368" t="str">
        <f>T("   PÂTES ALIMENTAIRES NON-CUITES NI FARCIES NI AUTREMENT PRÉPARÉES, NE CONTENANT PAS D'OEUFS")</f>
        <v xml:space="preserve">   PÂTES ALIMENTAIRES NON-CUITES NI FARCIES NI AUTREMENT PRÉPARÉES, NE CONTENANT PAS D'OEUFS</v>
      </c>
      <c r="C9368">
        <v>1002531300</v>
      </c>
      <c r="D9368">
        <v>3980354</v>
      </c>
    </row>
    <row r="9369" spans="1:4" x14ac:dyDescent="0.25">
      <c r="A9369" t="str">
        <f>T("   190220")</f>
        <v xml:space="preserve">   190220</v>
      </c>
      <c r="B9369" t="str">
        <f>T("   Pâtes alimentaires, farcies de viande ou d'autres substances, même cuites ou autrement préparées")</f>
        <v xml:space="preserve">   Pâtes alimentaires, farcies de viande ou d'autres substances, même cuites ou autrement préparées</v>
      </c>
      <c r="C9369">
        <v>237709</v>
      </c>
      <c r="D9369">
        <v>1800</v>
      </c>
    </row>
    <row r="9370" spans="1:4" x14ac:dyDescent="0.25">
      <c r="A9370" t="str">
        <f>T("   190230")</f>
        <v xml:space="preserve">   190230</v>
      </c>
      <c r="B9370" t="str">
        <f>T("   Pâtes alimentaires, cuites ou autrement préparées (à l'excl. des pâtes alimentaires farcies)")</f>
        <v xml:space="preserve">   Pâtes alimentaires, cuites ou autrement préparées (à l'excl. des pâtes alimentaires farcies)</v>
      </c>
      <c r="C9370">
        <v>10428865</v>
      </c>
      <c r="D9370">
        <v>46942</v>
      </c>
    </row>
    <row r="9371" spans="1:4" x14ac:dyDescent="0.25">
      <c r="A9371" t="str">
        <f>T("   190240")</f>
        <v xml:space="preserve">   190240</v>
      </c>
      <c r="B9371" t="str">
        <f>T("   Couscous, même préparé")</f>
        <v xml:space="preserve">   Couscous, même préparé</v>
      </c>
      <c r="C9371">
        <v>26775000</v>
      </c>
      <c r="D9371">
        <v>89150</v>
      </c>
    </row>
    <row r="9372" spans="1:4" x14ac:dyDescent="0.25">
      <c r="A9372" t="str">
        <f>T("   190530")</f>
        <v xml:space="preserve">   190530</v>
      </c>
      <c r="B9372" t="str">
        <f>T("   BISCUITS ADDITIONNES D'EDULCORANTS, GAUFRES ET GAUFRETTES, MÊME ADDITIONNES DE CACAO (À L'EXCL. DES GAUFRES ET GAUFRETTES AYANT UNE TENEUR EN EAU &gt; 10%)")</f>
        <v xml:space="preserve">   BISCUITS ADDITIONNES D'EDULCORANTS, GAUFRES ET GAUFRETTES, MÊME ADDITIONNES DE CACAO (À L'EXCL. DES GAUFRES ET GAUFRETTES AYANT UNE TENEUR EN EAU &gt; 10%)</v>
      </c>
      <c r="C9372">
        <v>108047</v>
      </c>
      <c r="D9372">
        <v>192</v>
      </c>
    </row>
    <row r="9373" spans="1:4" x14ac:dyDescent="0.25">
      <c r="A9373" t="str">
        <f>T("   190531")</f>
        <v xml:space="preserve">   190531</v>
      </c>
      <c r="B9373" t="str">
        <f>T("   Biscuits additionnés d'édulcorants")</f>
        <v xml:space="preserve">   Biscuits additionnés d'édulcorants</v>
      </c>
      <c r="C9373">
        <v>62673987</v>
      </c>
      <c r="D9373">
        <v>206648</v>
      </c>
    </row>
    <row r="9374" spans="1:4" x14ac:dyDescent="0.25">
      <c r="A9374" t="str">
        <f>T("   190590")</f>
        <v xml:space="preserve">   190590</v>
      </c>
      <c r="B9374" t="s">
        <v>50</v>
      </c>
      <c r="C9374">
        <v>91619780</v>
      </c>
      <c r="D9374">
        <v>427371</v>
      </c>
    </row>
    <row r="9375" spans="1:4" x14ac:dyDescent="0.25">
      <c r="A9375" t="str">
        <f>T("   200190")</f>
        <v xml:space="preserve">   200190</v>
      </c>
      <c r="B9375" t="str">
        <f>T("   Légumes, fruits et autres parties comestibles de plantes, préparés ou conservés au vinaigre ou à l'acide acétique (à l'excl. des concombres et des cornichons)")</f>
        <v xml:space="preserve">   Légumes, fruits et autres parties comestibles de plantes, préparés ou conservés au vinaigre ou à l'acide acétique (à l'excl. des concombres et des cornichons)</v>
      </c>
      <c r="C9375">
        <v>1283127</v>
      </c>
      <c r="D9375">
        <v>16185</v>
      </c>
    </row>
    <row r="9376" spans="1:4" x14ac:dyDescent="0.25">
      <c r="A9376" t="str">
        <f>T("   200210")</f>
        <v xml:space="preserve">   200210</v>
      </c>
      <c r="B9376" t="str">
        <f>T("   Tomates, entières ou en morceaux, préparées ou conservées autrement qu'au vinaigre ou à l'acide acétique")</f>
        <v xml:space="preserve">   Tomates, entières ou en morceaux, préparées ou conservées autrement qu'au vinaigre ou à l'acide acétique</v>
      </c>
      <c r="C9376">
        <v>367369</v>
      </c>
      <c r="D9376">
        <v>10216</v>
      </c>
    </row>
    <row r="9377" spans="1:4" x14ac:dyDescent="0.25">
      <c r="A9377" t="str">
        <f>T("   200290")</f>
        <v xml:space="preserve">   200290</v>
      </c>
      <c r="B9377" t="str">
        <f>T("   Tomates, préparées ou conservées autrement qu'au vinaigre ou à l'acide acétique (à l'excl. des tomates entières ou en morceaux)")</f>
        <v xml:space="preserve">   Tomates, préparées ou conservées autrement qu'au vinaigre ou à l'acide acétique (à l'excl. des tomates entières ou en morceaux)</v>
      </c>
      <c r="C9377">
        <v>770271530</v>
      </c>
      <c r="D9377">
        <v>2944997</v>
      </c>
    </row>
    <row r="9378" spans="1:4" x14ac:dyDescent="0.25">
      <c r="A9378" t="str">
        <f>T("   200310")</f>
        <v xml:space="preserve">   200310</v>
      </c>
      <c r="B9378" t="str">
        <f>T("   Champignons du genre 'Agaricus', préparés ou conservés autrement qu'au vinaigre ou à l'acide acétique")</f>
        <v xml:space="preserve">   Champignons du genre 'Agaricus', préparés ou conservés autrement qu'au vinaigre ou à l'acide acétique</v>
      </c>
      <c r="C9378">
        <v>8645</v>
      </c>
      <c r="D9378">
        <v>60</v>
      </c>
    </row>
    <row r="9379" spans="1:4" x14ac:dyDescent="0.25">
      <c r="A9379" t="str">
        <f>T("   200540")</f>
        <v xml:space="preserve">   200540</v>
      </c>
      <c r="B9379" t="str">
        <f>T("   Pois [Pisum sativum], préparés ou conservés autrement qu'au vinaigre ou à l'acide acétique, non congelés")</f>
        <v xml:space="preserve">   Pois [Pisum sativum], préparés ou conservés autrement qu'au vinaigre ou à l'acide acétique, non congelés</v>
      </c>
      <c r="C9379">
        <v>12973937</v>
      </c>
      <c r="D9379">
        <v>43196</v>
      </c>
    </row>
    <row r="9380" spans="1:4" x14ac:dyDescent="0.25">
      <c r="A9380" t="str">
        <f>T("   200551")</f>
        <v xml:space="preserve">   200551</v>
      </c>
      <c r="B9380" t="str">
        <f>T("   Haricots [Vigna spp., Phaseolus spp.], en grains, préparés ou conservés autrement qu'au vinaigre ou à l'acide acétique, non congelés")</f>
        <v xml:space="preserve">   Haricots [Vigna spp., Phaseolus spp.], en grains, préparés ou conservés autrement qu'au vinaigre ou à l'acide acétique, non congelés</v>
      </c>
      <c r="C9380">
        <v>9600000</v>
      </c>
      <c r="D9380">
        <v>58700</v>
      </c>
    </row>
    <row r="9381" spans="1:4" x14ac:dyDescent="0.25">
      <c r="A9381" t="str">
        <f>T("   200559")</f>
        <v xml:space="preserve">   200559</v>
      </c>
      <c r="B9381" t="str">
        <f>T("   Haricots [Vigna spp., Phaseolus spp.], préparés ou conservés autrement qu'au vinaigre ou à l'acide acétique, non congelés (à l'excl. des haricots en grains)")</f>
        <v xml:space="preserve">   Haricots [Vigna spp., Phaseolus spp.], préparés ou conservés autrement qu'au vinaigre ou à l'acide acétique, non congelés (à l'excl. des haricots en grains)</v>
      </c>
      <c r="C9381">
        <v>17933378</v>
      </c>
      <c r="D9381">
        <v>155268</v>
      </c>
    </row>
    <row r="9382" spans="1:4" x14ac:dyDescent="0.25">
      <c r="A9382" t="str">
        <f>T("   200580")</f>
        <v xml:space="preserve">   200580</v>
      </c>
      <c r="B9382" t="str">
        <f>T("   Maïs doux [Zea mays var. saccharata], préparé ou conservé autrement qu'au vinaigre ou à l'acide acétique, non congelé")</f>
        <v xml:space="preserve">   Maïs doux [Zea mays var. saccharata], préparé ou conservé autrement qu'au vinaigre ou à l'acide acétique, non congelé</v>
      </c>
      <c r="C9382">
        <v>216103</v>
      </c>
      <c r="D9382">
        <v>1340</v>
      </c>
    </row>
    <row r="9383" spans="1:4" x14ac:dyDescent="0.25">
      <c r="A9383" t="str">
        <f>T("   200710")</f>
        <v xml:space="preserve">   200710</v>
      </c>
      <c r="B9383" t="s">
        <v>52</v>
      </c>
      <c r="C9383">
        <v>7874987</v>
      </c>
      <c r="D9383">
        <v>54209</v>
      </c>
    </row>
    <row r="9384" spans="1:4" x14ac:dyDescent="0.25">
      <c r="A9384" t="str">
        <f>T("   200799")</f>
        <v xml:space="preserve">   200799</v>
      </c>
      <c r="B9384" t="s">
        <v>53</v>
      </c>
      <c r="C9384">
        <v>500000</v>
      </c>
      <c r="D9384">
        <v>1500</v>
      </c>
    </row>
    <row r="9385" spans="1:4" x14ac:dyDescent="0.25">
      <c r="A9385" t="str">
        <f>T("   200939")</f>
        <v xml:space="preserve">   200939</v>
      </c>
      <c r="B9385" t="str">
        <f>T("   JUS D'AGRUMES, NON-FERMENTÉS, SANS ADDITION D'ALCOOL, AVEC OU SANS ADDITION DE SUCRE OU D'AUTRES ÉDULCORANTS, D'UNE VALEUR BRIX &gt; 20 À 20°C (À L'EXCL. DES MÉLANGES AINSI QUE DES JUS D'ORANGE, DE PAMPLEMOUSSE OU DE POMELO)")</f>
        <v xml:space="preserve">   JUS D'AGRUMES, NON-FERMENTÉS, SANS ADDITION D'ALCOOL, AVEC OU SANS ADDITION DE SUCRE OU D'AUTRES ÉDULCORANTS, D'UNE VALEUR BRIX &gt; 20 À 20°C (À L'EXCL. DES MÉLANGES AINSI QUE DES JUS D'ORANGE, DE PAMPLEMOUSSE OU DE POMELO)</v>
      </c>
      <c r="C9385">
        <v>2000000</v>
      </c>
      <c r="D9385">
        <v>6200</v>
      </c>
    </row>
    <row r="9386" spans="1:4" x14ac:dyDescent="0.25">
      <c r="A9386" t="str">
        <f>T("   200979")</f>
        <v xml:space="preserve">   200979</v>
      </c>
      <c r="B9386" t="str">
        <f>T("   JUS DE POMME, NON-FERMENTÉS, SANS ADDITION D'ALCOOL, AVEC OU SANS ADDITION DE SUCRE OU D'AUTRES ÉDULCORANTS, D'UNE VALEUR BRIX &gt; 20 À 20°C")</f>
        <v xml:space="preserve">   JUS DE POMME, NON-FERMENTÉS, SANS ADDITION D'ALCOOL, AVEC OU SANS ADDITION DE SUCRE OU D'AUTRES ÉDULCORANTS, D'UNE VALEUR BRIX &gt; 20 À 20°C</v>
      </c>
      <c r="C9386">
        <v>2550000</v>
      </c>
      <c r="D9386">
        <v>10220</v>
      </c>
    </row>
    <row r="9387" spans="1:4" x14ac:dyDescent="0.25">
      <c r="A9387" t="str">
        <f>T("   200990")</f>
        <v xml:space="preserve">   200990</v>
      </c>
      <c r="B9387" t="str">
        <f>T("   MÉLANGES DE JUS DE FRUITS - Y.C. LES MOÛTS DE RAISIN - ET DE JUS DE LÉGUMES, NON-FERMENTÉS, SANS ADDITION D'ALCOOL, AVEC OU SANS ADDITION DE SUCRE OU D'AUTRES ÉDULCORANTS")</f>
        <v xml:space="preserve">   MÉLANGES DE JUS DE FRUITS - Y.C. LES MOÛTS DE RAISIN - ET DE JUS DE LÉGUMES, NON-FERMENTÉS, SANS ADDITION D'ALCOOL, AVEC OU SANS ADDITION DE SUCRE OU D'AUTRES ÉDULCORANTS</v>
      </c>
      <c r="C9387">
        <v>4294910</v>
      </c>
      <c r="D9387">
        <v>43950</v>
      </c>
    </row>
    <row r="9388" spans="1:4" x14ac:dyDescent="0.25">
      <c r="A9388" t="str">
        <f>T("   210111")</f>
        <v xml:space="preserve">   210111</v>
      </c>
      <c r="B9388" t="str">
        <f>T("   Extraits, essences et concentrés de café")</f>
        <v xml:space="preserve">   Extraits, essences et concentrés de café</v>
      </c>
      <c r="C9388">
        <v>229373467</v>
      </c>
      <c r="D9388">
        <v>53460</v>
      </c>
    </row>
    <row r="9389" spans="1:4" x14ac:dyDescent="0.25">
      <c r="A9389" t="str">
        <f>T("   210112")</f>
        <v xml:space="preserve">   210112</v>
      </c>
      <c r="B9389" t="str">
        <f>T("   Préparations à base d'extraits, essences ou concentrés de café ou à base de café")</f>
        <v xml:space="preserve">   Préparations à base d'extraits, essences ou concentrés de café ou à base de café</v>
      </c>
      <c r="C9389">
        <v>3993085</v>
      </c>
      <c r="D9389">
        <v>19012</v>
      </c>
    </row>
    <row r="9390" spans="1:4" x14ac:dyDescent="0.25">
      <c r="A9390" t="str">
        <f>T("   210120")</f>
        <v xml:space="preserve">   210120</v>
      </c>
      <c r="B9390" t="str">
        <f>T("   Extraits, essences et concentrés de thé ou de maté et préparations à base de ces extraits, essences et concentrés ou à base de thé ou de maté")</f>
        <v xml:space="preserve">   Extraits, essences et concentrés de thé ou de maté et préparations à base de ces extraits, essences et concentrés ou à base de thé ou de maté</v>
      </c>
      <c r="C9390">
        <v>87272</v>
      </c>
      <c r="D9390">
        <v>1250</v>
      </c>
    </row>
    <row r="9391" spans="1:4" x14ac:dyDescent="0.25">
      <c r="A9391" t="str">
        <f>T("   210210")</f>
        <v xml:space="preserve">   210210</v>
      </c>
      <c r="B9391" t="str">
        <f>T("   Levures vivantes")</f>
        <v xml:space="preserve">   Levures vivantes</v>
      </c>
      <c r="C9391">
        <v>1375901</v>
      </c>
      <c r="D9391">
        <v>6863</v>
      </c>
    </row>
    <row r="9392" spans="1:4" x14ac:dyDescent="0.25">
      <c r="A9392" t="str">
        <f>T("   210220")</f>
        <v xml:space="preserve">   210220</v>
      </c>
      <c r="B9392" t="str">
        <f>T("   Levures mortes; autres micro-organismes monocellulaires morts (à l'excl. des micro-organismes monocellulaires conditionnés comme médicaments)")</f>
        <v xml:space="preserve">   Levures mortes; autres micro-organismes monocellulaires morts (à l'excl. des micro-organismes monocellulaires conditionnés comme médicaments)</v>
      </c>
      <c r="C9392">
        <v>16000404</v>
      </c>
      <c r="D9392">
        <v>37410</v>
      </c>
    </row>
    <row r="9393" spans="1:4" x14ac:dyDescent="0.25">
      <c r="A9393" t="str">
        <f>T("   210230")</f>
        <v xml:space="preserve">   210230</v>
      </c>
      <c r="B9393" t="str">
        <f>T("   Poudres à lever préparées")</f>
        <v xml:space="preserve">   Poudres à lever préparées</v>
      </c>
      <c r="C9393">
        <v>12000000</v>
      </c>
      <c r="D9393">
        <v>69360</v>
      </c>
    </row>
    <row r="9394" spans="1:4" x14ac:dyDescent="0.25">
      <c r="A9394" t="str">
        <f>T("   210320")</f>
        <v xml:space="preserve">   210320</v>
      </c>
      <c r="B9394" t="str">
        <f>T("   Tomato ketchup et autres sauces tomates")</f>
        <v xml:space="preserve">   Tomato ketchup et autres sauces tomates</v>
      </c>
      <c r="C9394">
        <v>75632</v>
      </c>
      <c r="D9394">
        <v>596</v>
      </c>
    </row>
    <row r="9395" spans="1:4" x14ac:dyDescent="0.25">
      <c r="A9395" t="str">
        <f>T("   210330")</f>
        <v xml:space="preserve">   210330</v>
      </c>
      <c r="B9395" t="str">
        <f>T("   Farine de moutarde et moutarde préparée")</f>
        <v xml:space="preserve">   Farine de moutarde et moutarde préparée</v>
      </c>
      <c r="C9395">
        <v>859368</v>
      </c>
      <c r="D9395">
        <v>6650</v>
      </c>
    </row>
    <row r="9396" spans="1:4" x14ac:dyDescent="0.25">
      <c r="A9396" t="str">
        <f>T("   210390")</f>
        <v xml:space="preserve">   210390</v>
      </c>
      <c r="B9396" t="str">
        <f>T("   Préparations pour sauces et sauces préparées; condiments et assaisonnements, composés (à l'excl. de la sauce de soja, du tomato ketchup et autres sauces tomates, de la farine de moutarde et de la moutarde préparée)")</f>
        <v xml:space="preserve">   Préparations pour sauces et sauces préparées; condiments et assaisonnements, composés (à l'excl. de la sauce de soja, du tomato ketchup et autres sauces tomates, de la farine de moutarde et de la moutarde préparée)</v>
      </c>
      <c r="C9396">
        <v>42735073</v>
      </c>
      <c r="D9396">
        <v>150933</v>
      </c>
    </row>
    <row r="9397" spans="1:4" x14ac:dyDescent="0.25">
      <c r="A9397" t="str">
        <f>T("   210410")</f>
        <v xml:space="preserve">   210410</v>
      </c>
      <c r="B9397" t="str">
        <f>T("   Préparations pour soupes, potages ou bouillons; soupes, potages ou bouillons préparés")</f>
        <v xml:space="preserve">   Préparations pour soupes, potages ou bouillons; soupes, potages ou bouillons préparés</v>
      </c>
      <c r="C9397">
        <v>725059569</v>
      </c>
      <c r="D9397">
        <v>1162518</v>
      </c>
    </row>
    <row r="9398" spans="1:4" x14ac:dyDescent="0.25">
      <c r="A9398" t="str">
        <f>T("   210500")</f>
        <v xml:space="preserve">   210500</v>
      </c>
      <c r="B9398" t="str">
        <f>T("   Glaces de consommation, même contenant du cacao")</f>
        <v xml:space="preserve">   Glaces de consommation, même contenant du cacao</v>
      </c>
      <c r="C9398">
        <v>1658479350</v>
      </c>
      <c r="D9398">
        <v>4596416</v>
      </c>
    </row>
    <row r="9399" spans="1:4" x14ac:dyDescent="0.25">
      <c r="A9399" t="str">
        <f>T("   210610")</f>
        <v xml:space="preserve">   210610</v>
      </c>
      <c r="B9399" t="str">
        <f>T("   Concentrats de protéines et substances protéiques texturées")</f>
        <v xml:space="preserve">   Concentrats de protéines et substances protéiques texturées</v>
      </c>
      <c r="C9399">
        <v>4663427</v>
      </c>
      <c r="D9399">
        <v>15065</v>
      </c>
    </row>
    <row r="9400" spans="1:4" x14ac:dyDescent="0.25">
      <c r="A9400" t="str">
        <f>T("   210690")</f>
        <v xml:space="preserve">   210690</v>
      </c>
      <c r="B9400" t="str">
        <f>T("   Préparations alimentaires, n.d.a.")</f>
        <v xml:space="preserve">   Préparations alimentaires, n.d.a.</v>
      </c>
      <c r="C9400">
        <v>19873275</v>
      </c>
      <c r="D9400">
        <v>209222</v>
      </c>
    </row>
    <row r="9401" spans="1:4" x14ac:dyDescent="0.25">
      <c r="A9401" t="str">
        <f>T("   220110")</f>
        <v xml:space="preserve">   220110</v>
      </c>
      <c r="B9401" t="str">
        <f>T("   Eaux minérales et eaux gazéifiées, non additionnées de sucre ou d'autres édulcorants ni aromatisées")</f>
        <v xml:space="preserve">   Eaux minérales et eaux gazéifiées, non additionnées de sucre ou d'autres édulcorants ni aromatisées</v>
      </c>
      <c r="C9401">
        <v>10250407</v>
      </c>
      <c r="D9401">
        <v>129384</v>
      </c>
    </row>
    <row r="9402" spans="1:4" x14ac:dyDescent="0.25">
      <c r="A9402" t="str">
        <f>T("   220190")</f>
        <v xml:space="preserve">   220190</v>
      </c>
      <c r="B9402" t="str">
        <f>T("   Eaux, non additionnées de sucre ou d'autres édulcorants ni aromatisées (à l'excl. des eaux minérales, des eaux gazéifiées, de l'eau de mer ainsi que des eaux distillées, de conductibilité ou de même degré de pureté); glace et neige")</f>
        <v xml:space="preserve">   Eaux, non additionnées de sucre ou d'autres édulcorants ni aromatisées (à l'excl. des eaux minérales, des eaux gazéifiées, de l'eau de mer ainsi que des eaux distillées, de conductibilité ou de même degré de pureté); glace et neige</v>
      </c>
      <c r="C9402">
        <v>64829</v>
      </c>
      <c r="D9402">
        <v>3630</v>
      </c>
    </row>
    <row r="9403" spans="1:4" x14ac:dyDescent="0.25">
      <c r="A9403" t="str">
        <f>T("   220210")</f>
        <v xml:space="preserve">   220210</v>
      </c>
      <c r="B9403" t="str">
        <f>T("   Eaux, y.c. les eaux minérales et les eaux gazéifiées, additionnées de sucre ou d'autres édulcorants ou aromatisées, directement consommables en l'état en tant que boissons")</f>
        <v xml:space="preserve">   Eaux, y.c. les eaux minérales et les eaux gazéifiées, additionnées de sucre ou d'autres édulcorants ou aromatisées, directement consommables en l'état en tant que boissons</v>
      </c>
      <c r="C9403">
        <v>2410089131</v>
      </c>
      <c r="D9403">
        <v>6422089</v>
      </c>
    </row>
    <row r="9404" spans="1:4" x14ac:dyDescent="0.25">
      <c r="A9404" t="str">
        <f>T("   220290")</f>
        <v xml:space="preserve">   220290</v>
      </c>
      <c r="B9404" t="str">
        <f>T("   BOISSONS NON-ALCOOLIQUES (À L'EXCL. DES EAUX, DES JUS DE FRUITS OU DE LÉGUMES AINSI QUE DU LAIT)")</f>
        <v xml:space="preserve">   BOISSONS NON-ALCOOLIQUES (À L'EXCL. DES EAUX, DES JUS DE FRUITS OU DE LÉGUMES AINSI QUE DU LAIT)</v>
      </c>
      <c r="C9404">
        <v>82328823</v>
      </c>
      <c r="D9404">
        <v>509237</v>
      </c>
    </row>
    <row r="9405" spans="1:4" x14ac:dyDescent="0.25">
      <c r="A9405" t="str">
        <f>T("   220300")</f>
        <v xml:space="preserve">   220300</v>
      </c>
      <c r="B9405" t="str">
        <f>T("   Bières de malt")</f>
        <v xml:space="preserve">   Bières de malt</v>
      </c>
      <c r="C9405">
        <v>794527418</v>
      </c>
      <c r="D9405">
        <v>3202556</v>
      </c>
    </row>
    <row r="9406" spans="1:4" x14ac:dyDescent="0.25">
      <c r="A9406" t="str">
        <f>T("   220410")</f>
        <v xml:space="preserve">   220410</v>
      </c>
      <c r="B9406" t="str">
        <f>T("   Vins mousseux produits à partir de raisins frais")</f>
        <v xml:space="preserve">   Vins mousseux produits à partir de raisins frais</v>
      </c>
      <c r="C9406">
        <v>4663501</v>
      </c>
      <c r="D9406">
        <v>40685</v>
      </c>
    </row>
    <row r="9407" spans="1:4" x14ac:dyDescent="0.25">
      <c r="A9407" t="str">
        <f>T("   220421")</f>
        <v xml:space="preserve">   220421</v>
      </c>
      <c r="B9407" t="str">
        <f>T("   Vins de raisins frais, y.c. les vins enrichis en alcool (à l'excl. des vins mousseux); moûts de raisins dont la fermentation a été empêchée ou arrêtée par addition d'alcool, en récipients d'une contenance &lt;= 2 l")</f>
        <v xml:space="preserve">   Vins de raisins frais, y.c. les vins enrichis en alcool (à l'excl. des vins mousseux); moûts de raisins dont la fermentation a été empêchée ou arrêtée par addition d'alcool, en récipients d'une contenance &lt;= 2 l</v>
      </c>
      <c r="C9407">
        <v>57195411</v>
      </c>
      <c r="D9407">
        <v>381143</v>
      </c>
    </row>
    <row r="9408" spans="1:4" x14ac:dyDescent="0.25">
      <c r="A9408" t="str">
        <f>T("   220429")</f>
        <v xml:space="preserve">   220429</v>
      </c>
      <c r="B9408" t="str">
        <f>T("   VINS DE RAISINS FRAIS, Y.C. LES VINS ENRICHIS EN ALCOOL, ET MOÛTS DE RAISINS DONT LA FERMENTATION A ÉTÉ EMPÊCHÉE OU ARRÊTÉE PAR ADDITION D'ALCOOL, EN RÉCIPIENTS D'UNE CONTENANCE &gt; 2 L (À L'EXCL. DES VINS MOUSSEUX)")</f>
        <v xml:space="preserve">   VINS DE RAISINS FRAIS, Y.C. LES VINS ENRICHIS EN ALCOOL, ET MOÛTS DE RAISINS DONT LA FERMENTATION A ÉTÉ EMPÊCHÉE OU ARRÊTÉE PAR ADDITION D'ALCOOL, EN RÉCIPIENTS D'UNE CONTENANCE &gt; 2 L (À L'EXCL. DES VINS MOUSSEUX)</v>
      </c>
      <c r="C9408">
        <v>10887000</v>
      </c>
      <c r="D9408">
        <v>40350</v>
      </c>
    </row>
    <row r="9409" spans="1:4" x14ac:dyDescent="0.25">
      <c r="A9409" t="str">
        <f>T("   220510")</f>
        <v xml:space="preserve">   220510</v>
      </c>
      <c r="B9409" t="str">
        <f>T("   Vermouths et autres vins de raisins frais préparés à l'aide de plantes ou de substances aromatiques, en récipients d'une contenance &lt;= 2 l")</f>
        <v xml:space="preserve">   Vermouths et autres vins de raisins frais préparés à l'aide de plantes ou de substances aromatiques, en récipients d'une contenance &lt;= 2 l</v>
      </c>
      <c r="C9409">
        <v>16500000</v>
      </c>
      <c r="D9409">
        <v>34600</v>
      </c>
    </row>
    <row r="9410" spans="1:4" x14ac:dyDescent="0.25">
      <c r="A9410" t="str">
        <f>T("   220710")</f>
        <v xml:space="preserve">   220710</v>
      </c>
      <c r="B9410" t="str">
        <f>T("   Alcool éthylique non dénaturé d'un titre alcoométrique volumique &gt;= 80% vol")</f>
        <v xml:space="preserve">   Alcool éthylique non dénaturé d'un titre alcoométrique volumique &gt;= 80% vol</v>
      </c>
      <c r="C9410">
        <v>388979</v>
      </c>
      <c r="D9410">
        <v>4220</v>
      </c>
    </row>
    <row r="9411" spans="1:4" x14ac:dyDescent="0.25">
      <c r="A9411" t="str">
        <f>T("   220830")</f>
        <v xml:space="preserve">   220830</v>
      </c>
      <c r="B9411" t="str">
        <f>T("   Whiskies")</f>
        <v xml:space="preserve">   Whiskies</v>
      </c>
      <c r="C9411">
        <v>44965262</v>
      </c>
      <c r="D9411">
        <v>100242</v>
      </c>
    </row>
    <row r="9412" spans="1:4" x14ac:dyDescent="0.25">
      <c r="A9412" t="str">
        <f>T("   220850")</f>
        <v xml:space="preserve">   220850</v>
      </c>
      <c r="B9412" t="str">
        <f>T("   Gin et genièvre")</f>
        <v xml:space="preserve">   Gin et genièvre</v>
      </c>
      <c r="C9412">
        <v>5539330</v>
      </c>
      <c r="D9412">
        <v>34700</v>
      </c>
    </row>
    <row r="9413" spans="1:4" x14ac:dyDescent="0.25">
      <c r="A9413" t="str">
        <f>T("   220870")</f>
        <v xml:space="preserve">   220870</v>
      </c>
      <c r="B9413" t="str">
        <f>T("   LIQUEURS")</f>
        <v xml:space="preserve">   LIQUEURS</v>
      </c>
      <c r="C9413">
        <v>6604694</v>
      </c>
      <c r="D9413">
        <v>21660</v>
      </c>
    </row>
    <row r="9414" spans="1:4" x14ac:dyDescent="0.25">
      <c r="A9414" t="str">
        <f>T("   220890")</f>
        <v xml:space="preserve">   220890</v>
      </c>
      <c r="B9414" t="s">
        <v>58</v>
      </c>
      <c r="C9414">
        <v>34869187</v>
      </c>
      <c r="D9414">
        <v>117840</v>
      </c>
    </row>
    <row r="9415" spans="1:4" x14ac:dyDescent="0.25">
      <c r="A9415" t="str">
        <f>T("   230120")</f>
        <v xml:space="preserve">   230120</v>
      </c>
      <c r="B9415" t="str">
        <f>T("   Farines, poudres et agglomérés sous forme de pellets, de poissons ou de crustacés, de mollusques ou d'autres invertébrés aquatiques, impropres à l'alimentation humaine")</f>
        <v xml:space="preserve">   Farines, poudres et agglomérés sous forme de pellets, de poissons ou de crustacés, de mollusques ou d'autres invertébrés aquatiques, impropres à l'alimentation humaine</v>
      </c>
      <c r="C9415">
        <v>3202759</v>
      </c>
      <c r="D9415">
        <v>33990</v>
      </c>
    </row>
    <row r="9416" spans="1:4" x14ac:dyDescent="0.25">
      <c r="A9416" t="str">
        <f>T("   230230")</f>
        <v xml:space="preserve">   230230</v>
      </c>
      <c r="B9416" t="str">
        <f>T("   Sons, remoulages et autres résidus, même agglomérés sous forme de pellets, du criblage, de la mouture ou d'autres traitements du froment")</f>
        <v xml:space="preserve">   Sons, remoulages et autres résidus, même agglomérés sous forme de pellets, du criblage, de la mouture ou d'autres traitements du froment</v>
      </c>
      <c r="C9416">
        <v>8639350</v>
      </c>
      <c r="D9416">
        <v>559700</v>
      </c>
    </row>
    <row r="9417" spans="1:4" x14ac:dyDescent="0.25">
      <c r="A9417" t="str">
        <f>T("   230240")</f>
        <v xml:space="preserve">   230240</v>
      </c>
      <c r="B9417" t="str">
        <f>T("   SONS, REMOULAGES ET AUTRES RÉSIDUS, MÊME AGGLOMÉRÉS SOUS FORME DE PELLETS, DU CRIBLAGE, DE LA MOUTURE OU D'AUTRES TRAITEMENTS DES CÉRÉALES (À L'EXCL. DU MAÏS OU DU FROMENT)")</f>
        <v xml:space="preserve">   SONS, REMOULAGES ET AUTRES RÉSIDUS, MÊME AGGLOMÉRÉS SOUS FORME DE PELLETS, DU CRIBLAGE, DE LA MOUTURE OU D'AUTRES TRAITEMENTS DES CÉRÉALES (À L'EXCL. DU MAÏS OU DU FROMENT)</v>
      </c>
      <c r="C9417">
        <v>15311493</v>
      </c>
      <c r="D9417">
        <v>230850</v>
      </c>
    </row>
    <row r="9418" spans="1:4" x14ac:dyDescent="0.25">
      <c r="A9418" t="str">
        <f>T("   230330")</f>
        <v xml:space="preserve">   230330</v>
      </c>
      <c r="B9418" t="str">
        <f>T("   Drêches et déchets de brasserie ou de distillerie")</f>
        <v xml:space="preserve">   Drêches et déchets de brasserie ou de distillerie</v>
      </c>
      <c r="C9418">
        <v>566376</v>
      </c>
      <c r="D9418">
        <v>8800</v>
      </c>
    </row>
    <row r="9419" spans="1:4" x14ac:dyDescent="0.25">
      <c r="A9419" t="str">
        <f>T("   230400")</f>
        <v xml:space="preserve">   230400</v>
      </c>
      <c r="B9419" t="str">
        <f>T("   Tourteaux et autres résidus solides, même broyés ou agglomérés sous forme de pellets, de l'extraction de l'huile de soja")</f>
        <v xml:space="preserve">   Tourteaux et autres résidus solides, même broyés ou agglomérés sous forme de pellets, de l'extraction de l'huile de soja</v>
      </c>
      <c r="C9419">
        <v>778772</v>
      </c>
      <c r="D9419">
        <v>14560</v>
      </c>
    </row>
    <row r="9420" spans="1:4" x14ac:dyDescent="0.25">
      <c r="A9420" t="str">
        <f>T("   230500")</f>
        <v xml:space="preserve">   230500</v>
      </c>
      <c r="B9420" t="str">
        <f>T("   Tourteaux et autres résidus solides, même broyés ou agglomérés sous forme de pellets, de l'extraction de l'huile d'arachide")</f>
        <v xml:space="preserve">   Tourteaux et autres résidus solides, même broyés ou agglomérés sous forme de pellets, de l'extraction de l'huile d'arachide</v>
      </c>
      <c r="C9420">
        <v>2100000</v>
      </c>
      <c r="D9420">
        <v>20000</v>
      </c>
    </row>
    <row r="9421" spans="1:4" x14ac:dyDescent="0.25">
      <c r="A9421" t="str">
        <f>T("   230610")</f>
        <v xml:space="preserve">   230610</v>
      </c>
      <c r="B9421" t="str">
        <f>T("   Tourteaux et autres résidus solides, même broyés ou agglomérés sous forme de pellets, de l'extraction des graisses ou huiles de coton")</f>
        <v xml:space="preserve">   Tourteaux et autres résidus solides, même broyés ou agglomérés sous forme de pellets, de l'extraction des graisses ou huiles de coton</v>
      </c>
      <c r="C9421">
        <v>141599</v>
      </c>
      <c r="D9421">
        <v>260</v>
      </c>
    </row>
    <row r="9422" spans="1:4" x14ac:dyDescent="0.25">
      <c r="A9422" t="str">
        <f>T("   230910")</f>
        <v xml:space="preserve">   230910</v>
      </c>
      <c r="B9422" t="str">
        <f>T("   Aliments pour chiens ou chats, conditionnés pour la vente au détail")</f>
        <v xml:space="preserve">   Aliments pour chiens ou chats, conditionnés pour la vente au détail</v>
      </c>
      <c r="C9422">
        <v>19822986</v>
      </c>
      <c r="D9422">
        <v>30985</v>
      </c>
    </row>
    <row r="9423" spans="1:4" x14ac:dyDescent="0.25">
      <c r="A9423" t="str">
        <f>T("   230990")</f>
        <v xml:space="preserve">   230990</v>
      </c>
      <c r="B9423" t="str">
        <f>T("   Préparations des types utilisés pour l'alimentation des animaux (à l'excl. des aliments pour chiens ou chats conditionnés pour la vente au détail)")</f>
        <v xml:space="preserve">   Préparations des types utilisés pour l'alimentation des animaux (à l'excl. des aliments pour chiens ou chats conditionnés pour la vente au détail)</v>
      </c>
      <c r="C9423">
        <v>353892</v>
      </c>
      <c r="D9423">
        <v>18523</v>
      </c>
    </row>
    <row r="9424" spans="1:4" x14ac:dyDescent="0.25">
      <c r="A9424" t="str">
        <f>T("   240220")</f>
        <v xml:space="preserve">   240220</v>
      </c>
      <c r="B9424" t="str">
        <f>T("   Cigarettes contenant du tabac")</f>
        <v xml:space="preserve">   Cigarettes contenant du tabac</v>
      </c>
      <c r="C9424">
        <v>10580</v>
      </c>
      <c r="D9424">
        <v>25</v>
      </c>
    </row>
    <row r="9425" spans="1:4" x14ac:dyDescent="0.25">
      <c r="A9425" t="str">
        <f>T("   250100")</f>
        <v xml:space="preserve">   250100</v>
      </c>
      <c r="B9425" t="s">
        <v>60</v>
      </c>
      <c r="C9425">
        <v>54932201</v>
      </c>
      <c r="D9425">
        <v>1635653</v>
      </c>
    </row>
    <row r="9426" spans="1:4" x14ac:dyDescent="0.25">
      <c r="A9426" t="str">
        <f>T("   250590")</f>
        <v xml:space="preserve">   250590</v>
      </c>
      <c r="B9426" t="str">
        <f>T("   Sables naturels de toute espèce, même colorés (à l'excl. des sables aurifères, platinifères, monazités, bitumineux, asphaltiques, siliceux ou quartzeux ainsi que des sables de zircon, de rutile ou d'ilménite)")</f>
        <v xml:space="preserve">   Sables naturels de toute espèce, même colorés (à l'excl. des sables aurifères, platinifères, monazités, bitumineux, asphaltiques, siliceux ou quartzeux ainsi que des sables de zircon, de rutile ou d'ilménite)</v>
      </c>
      <c r="C9426">
        <v>65000</v>
      </c>
      <c r="D9426">
        <v>1300</v>
      </c>
    </row>
    <row r="9427" spans="1:4" x14ac:dyDescent="0.25">
      <c r="A9427" t="str">
        <f>T("   251010")</f>
        <v xml:space="preserve">   251010</v>
      </c>
      <c r="B9427" t="str">
        <f>T("   Phosphates de calcium et phosphates aluminocalciques, naturels et craies phosphatées, non moulus")</f>
        <v xml:space="preserve">   Phosphates de calcium et phosphates aluminocalciques, naturels et craies phosphatées, non moulus</v>
      </c>
      <c r="C9427">
        <v>263852</v>
      </c>
      <c r="D9427">
        <v>200</v>
      </c>
    </row>
    <row r="9428" spans="1:4" x14ac:dyDescent="0.25">
      <c r="A9428" t="str">
        <f>T("   251319")</f>
        <v xml:space="preserve">   251319</v>
      </c>
      <c r="B9428" t="str">
        <f>T("   Pierre ponce, broyée ou pulvérisée")</f>
        <v xml:space="preserve">   Pierre ponce, broyée ou pulvérisée</v>
      </c>
      <c r="C9428">
        <v>17590</v>
      </c>
      <c r="D9428">
        <v>20</v>
      </c>
    </row>
    <row r="9429" spans="1:4" x14ac:dyDescent="0.25">
      <c r="A9429" t="str">
        <f>T("   251512")</f>
        <v xml:space="preserve">   251512</v>
      </c>
      <c r="B9429" t="str">
        <f>T("   MARBRES ET TRAVERTINS, SIMPL. DÉBITÉS, PAR SCIAGE OU AUTREMENT, EN BLOCS OU EN PLAQUES DE FORME CARRÉE OU RECTANGULAIRE")</f>
        <v xml:space="preserve">   MARBRES ET TRAVERTINS, SIMPL. DÉBITÉS, PAR SCIAGE OU AUTREMENT, EN BLOCS OU EN PLAQUES DE FORME CARRÉE OU RECTANGULAIRE</v>
      </c>
      <c r="C9429">
        <v>580474</v>
      </c>
      <c r="D9429">
        <v>9002</v>
      </c>
    </row>
    <row r="9430" spans="1:4" x14ac:dyDescent="0.25">
      <c r="A9430" t="str">
        <f>T("   251611")</f>
        <v xml:space="preserve">   251611</v>
      </c>
      <c r="B9430" t="str">
        <f>T("   Granit, brut ou dégrossi (à l'excl. des pierres présentant le caractère de pavés, de bordures de trottoirs ou de dalles de pavage)")</f>
        <v xml:space="preserve">   Granit, brut ou dégrossi (à l'excl. des pierres présentant le caractère de pavés, de bordures de trottoirs ou de dalles de pavage)</v>
      </c>
      <c r="C9430">
        <v>200901</v>
      </c>
      <c r="D9430">
        <v>5000</v>
      </c>
    </row>
    <row r="9431" spans="1:4" x14ac:dyDescent="0.25">
      <c r="A9431" t="str">
        <f>T("   252020")</f>
        <v xml:space="preserve">   252020</v>
      </c>
      <c r="B9431" t="str">
        <f>T("   Plâtres, même colorés ou additionnés de faibles quantités d'accélérateurs ou de retardateurs")</f>
        <v xml:space="preserve">   Plâtres, même colorés ou additionnés de faibles quantités d'accélérateurs ou de retardateurs</v>
      </c>
      <c r="C9431">
        <v>1145328</v>
      </c>
      <c r="D9431">
        <v>17250</v>
      </c>
    </row>
    <row r="9432" spans="1:4" x14ac:dyDescent="0.25">
      <c r="A9432" t="str">
        <f>T("   252210")</f>
        <v xml:space="preserve">   252210</v>
      </c>
      <c r="B9432" t="str">
        <f>T("   Chaux vive")</f>
        <v xml:space="preserve">   Chaux vive</v>
      </c>
      <c r="C9432">
        <v>1648297</v>
      </c>
      <c r="D9432">
        <v>7500</v>
      </c>
    </row>
    <row r="9433" spans="1:4" x14ac:dyDescent="0.25">
      <c r="A9433" t="str">
        <f>T("   252329")</f>
        <v xml:space="preserve">   252329</v>
      </c>
      <c r="B9433" t="str">
        <f>T("   Ciment Portland normal ou modéré (à l'excl. des ciments Portland blancs, même colorés artificiellement)")</f>
        <v xml:space="preserve">   Ciment Portland normal ou modéré (à l'excl. des ciments Portland blancs, même colorés artificiellement)</v>
      </c>
      <c r="C9433">
        <v>10369198000</v>
      </c>
      <c r="D9433">
        <v>172784170</v>
      </c>
    </row>
    <row r="9434" spans="1:4" x14ac:dyDescent="0.25">
      <c r="A9434" t="str">
        <f>T("   271000")</f>
        <v xml:space="preserve">   271000</v>
      </c>
      <c r="B9434" t="str">
        <f>T("   HUILES DE PETROLE OU DE MINERAUX BITUMINEUX (AUTRES QUE LES HUILES BRUTES); PRÉPARATIONS N.D.A. CONTENANT EN POIDS &gt;= 70% D'HUILES DE PETROLE OU DE MINERAUX BITUMINEUX ET DONT CES HUILES CONSTITUENT L'ELEMENT DE BASE")</f>
        <v xml:space="preserve">   HUILES DE PETROLE OU DE MINERAUX BITUMINEUX (AUTRES QUE LES HUILES BRUTES); PRÉPARATIONS N.D.A. CONTENANT EN POIDS &gt;= 70% D'HUILES DE PETROLE OU DE MINERAUX BITUMINEUX ET DONT CES HUILES CONSTITUENT L'ELEMENT DE BASE</v>
      </c>
      <c r="C9434">
        <v>304494</v>
      </c>
      <c r="D9434">
        <v>880</v>
      </c>
    </row>
    <row r="9435" spans="1:4" x14ac:dyDescent="0.25">
      <c r="A9435" t="str">
        <f>T("   271011")</f>
        <v xml:space="preserve">   271011</v>
      </c>
      <c r="B9435" t="str">
        <f>T("   HUILES LÉGÈRES ET PRÉPARATIONS DE PÉTROLE OU DE MINÉRAUX BITUMINEUX DISTILLANT EN VOLUME, Y.C. LES PERTES, &gt;= 90% À 210°C, D'APRÈS LA MÉTHODE ASTM D 86")</f>
        <v xml:space="preserve">   HUILES LÉGÈRES ET PRÉPARATIONS DE PÉTROLE OU DE MINÉRAUX BITUMINEUX DISTILLANT EN VOLUME, Y.C. LES PERTES, &gt;= 90% À 210°C, D'APRÈS LA MÉTHODE ASTM D 86</v>
      </c>
      <c r="C9435">
        <v>1319260876</v>
      </c>
      <c r="D9435">
        <v>3661035</v>
      </c>
    </row>
    <row r="9436" spans="1:4" x14ac:dyDescent="0.25">
      <c r="A9436" t="str">
        <f>T("   271019")</f>
        <v xml:space="preserve">   271019</v>
      </c>
      <c r="B9436" t="str">
        <f>T("   Huiles moyennes et préparations, de pétrole ou de minéraux bitumineux, n.d.a.")</f>
        <v xml:space="preserve">   Huiles moyennes et préparations, de pétrole ou de minéraux bitumineux, n.d.a.</v>
      </c>
      <c r="C9436">
        <v>5829775278</v>
      </c>
      <c r="D9436">
        <v>20122974</v>
      </c>
    </row>
    <row r="9437" spans="1:4" x14ac:dyDescent="0.25">
      <c r="A9437" t="str">
        <f>T("   271111")</f>
        <v xml:space="preserve">   271111</v>
      </c>
      <c r="B9437" t="str">
        <f>T("   Gaz naturel, liquéfié")</f>
        <v xml:space="preserve">   Gaz naturel, liquéfié</v>
      </c>
      <c r="C9437">
        <v>250674</v>
      </c>
      <c r="D9437">
        <v>2415</v>
      </c>
    </row>
    <row r="9438" spans="1:4" x14ac:dyDescent="0.25">
      <c r="A9438" t="str">
        <f>T("   271113")</f>
        <v xml:space="preserve">   271113</v>
      </c>
      <c r="B9438" t="str">
        <f>T("   Butanes, liquéfiés (à l'excl. des butanes d'une pureté &gt;= 95% en n-butane ou en isobutane)")</f>
        <v xml:space="preserve">   Butanes, liquéfiés (à l'excl. des butanes d'une pureté &gt;= 95% en n-butane ou en isobutane)</v>
      </c>
      <c r="C9438">
        <v>60591007</v>
      </c>
      <c r="D9438">
        <v>126790</v>
      </c>
    </row>
    <row r="9439" spans="1:4" x14ac:dyDescent="0.25">
      <c r="A9439" t="str">
        <f>T("   271119")</f>
        <v xml:space="preserve">   271119</v>
      </c>
      <c r="B9439" t="str">
        <f>T("   Hydrocarbures gazeux, liquéfiés, n.d.a. (à l'excl. du gaz naturel, du propane, des butanes, de l'éthylène, du propylène, du butylène et du butadiène)")</f>
        <v xml:space="preserve">   Hydrocarbures gazeux, liquéfiés, n.d.a. (à l'excl. du gaz naturel, du propane, des butanes, de l'éthylène, du propylène, du butylène et du butadiène)</v>
      </c>
      <c r="C9439">
        <v>17901</v>
      </c>
      <c r="D9439">
        <v>120</v>
      </c>
    </row>
    <row r="9440" spans="1:4" x14ac:dyDescent="0.25">
      <c r="A9440" t="str">
        <f>T("   271320")</f>
        <v xml:space="preserve">   271320</v>
      </c>
      <c r="B9440" t="str">
        <f>T("   Bitume de pétrole")</f>
        <v xml:space="preserve">   Bitume de pétrole</v>
      </c>
      <c r="C9440">
        <v>458700102</v>
      </c>
      <c r="D9440">
        <v>995200</v>
      </c>
    </row>
    <row r="9441" spans="1:4" x14ac:dyDescent="0.25">
      <c r="A9441" t="str">
        <f>T("   271600")</f>
        <v xml:space="preserve">   271600</v>
      </c>
      <c r="B9441" t="str">
        <f>T("   Energie électrique")</f>
        <v xml:space="preserve">   Energie électrique</v>
      </c>
      <c r="C9441">
        <v>62246213868</v>
      </c>
      <c r="D9441">
        <v>0</v>
      </c>
    </row>
    <row r="9442" spans="1:4" x14ac:dyDescent="0.25">
      <c r="A9442" t="str">
        <f>T("   280429")</f>
        <v xml:space="preserve">   280429</v>
      </c>
      <c r="B9442" t="str">
        <f>T("   Gaz rares (à l'excl. de l'argon)")</f>
        <v xml:space="preserve">   Gaz rares (à l'excl. de l'argon)</v>
      </c>
      <c r="C9442">
        <v>4858563</v>
      </c>
      <c r="D9442">
        <v>3630</v>
      </c>
    </row>
    <row r="9443" spans="1:4" x14ac:dyDescent="0.25">
      <c r="A9443" t="str">
        <f>T("   280430")</f>
        <v xml:space="preserve">   280430</v>
      </c>
      <c r="B9443" t="str">
        <f>T("   Azote")</f>
        <v xml:space="preserve">   Azote</v>
      </c>
      <c r="C9443">
        <v>5336980</v>
      </c>
      <c r="D9443">
        <v>14588.5</v>
      </c>
    </row>
    <row r="9444" spans="1:4" x14ac:dyDescent="0.25">
      <c r="A9444" t="str">
        <f>T("   280440")</f>
        <v xml:space="preserve">   280440</v>
      </c>
      <c r="B9444" t="str">
        <f>T("   Oxygène")</f>
        <v xml:space="preserve">   Oxygène</v>
      </c>
      <c r="C9444">
        <v>30158909</v>
      </c>
      <c r="D9444">
        <v>200518</v>
      </c>
    </row>
    <row r="9445" spans="1:4" x14ac:dyDescent="0.25">
      <c r="A9445" t="str">
        <f>T("   280610")</f>
        <v xml:space="preserve">   280610</v>
      </c>
      <c r="B9445" t="str">
        <f>T("   Chlorure d'hydrogène [acide chlorhydrique]")</f>
        <v xml:space="preserve">   Chlorure d'hydrogène [acide chlorhydrique]</v>
      </c>
      <c r="C9445">
        <v>3081644</v>
      </c>
      <c r="D9445">
        <v>13250</v>
      </c>
    </row>
    <row r="9446" spans="1:4" x14ac:dyDescent="0.25">
      <c r="A9446" t="str">
        <f>T("   281121")</f>
        <v xml:space="preserve">   281121</v>
      </c>
      <c r="B9446" t="str">
        <f>T("   DIOXYDE DE CARBONE")</f>
        <v xml:space="preserve">   DIOXYDE DE CARBONE</v>
      </c>
      <c r="C9446">
        <v>946618</v>
      </c>
      <c r="D9446">
        <v>287</v>
      </c>
    </row>
    <row r="9447" spans="1:4" x14ac:dyDescent="0.25">
      <c r="A9447" t="str">
        <f>T("   281290")</f>
        <v xml:space="preserve">   281290</v>
      </c>
      <c r="B9447" t="str">
        <f>T("   Halogénures et oxyhalogénures des éléments non métalliques (à l'excl. des chlorures et des oxychlorures)")</f>
        <v xml:space="preserve">   Halogénures et oxyhalogénures des éléments non métalliques (à l'excl. des chlorures et des oxychlorures)</v>
      </c>
      <c r="C9447">
        <v>4415398</v>
      </c>
      <c r="D9447">
        <v>7905</v>
      </c>
    </row>
    <row r="9448" spans="1:4" x14ac:dyDescent="0.25">
      <c r="A9448" t="str">
        <f>T("   281511")</f>
        <v xml:space="preserve">   281511</v>
      </c>
      <c r="B9448" t="str">
        <f>T("   Hydroxyde de sodium [soude caustique], solide")</f>
        <v xml:space="preserve">   Hydroxyde de sodium [soude caustique], solide</v>
      </c>
      <c r="C9448">
        <v>18289226</v>
      </c>
      <c r="D9448">
        <v>129530</v>
      </c>
    </row>
    <row r="9449" spans="1:4" x14ac:dyDescent="0.25">
      <c r="A9449" t="str">
        <f>T("   281530")</f>
        <v xml:space="preserve">   281530</v>
      </c>
      <c r="B9449" t="str">
        <f>T("   Peroxydes de sodium ou de potassium")</f>
        <v xml:space="preserve">   Peroxydes de sodium ou de potassium</v>
      </c>
      <c r="C9449">
        <v>286482</v>
      </c>
      <c r="D9449">
        <v>55</v>
      </c>
    </row>
    <row r="9450" spans="1:4" x14ac:dyDescent="0.25">
      <c r="A9450" t="str">
        <f>T("   282810")</f>
        <v xml:space="preserve">   282810</v>
      </c>
      <c r="B9450" t="str">
        <f>T("   Hypochlorites de calcium, y.c. l'hypochlorite de calcium du commerce")</f>
        <v xml:space="preserve">   Hypochlorites de calcium, y.c. l'hypochlorite de calcium du commerce</v>
      </c>
      <c r="C9450">
        <v>67456</v>
      </c>
      <c r="D9450">
        <v>270</v>
      </c>
    </row>
    <row r="9451" spans="1:4" x14ac:dyDescent="0.25">
      <c r="A9451" t="str">
        <f>T("   282890")</f>
        <v xml:space="preserve">   282890</v>
      </c>
      <c r="B9451" t="str">
        <f>T("   Hypochlorites, chlorites et hypobromites (à l'excl. des hypochlorites de calcium)")</f>
        <v xml:space="preserve">   Hypochlorites, chlorites et hypobromites (à l'excl. des hypochlorites de calcium)</v>
      </c>
      <c r="C9451">
        <v>900364</v>
      </c>
      <c r="D9451">
        <v>9250</v>
      </c>
    </row>
    <row r="9452" spans="1:4" x14ac:dyDescent="0.25">
      <c r="A9452" t="str">
        <f>T("   283630")</f>
        <v xml:space="preserve">   283630</v>
      </c>
      <c r="B9452" t="str">
        <f>T("   Hydrogénocarbonate [bicarbonate] de sodium")</f>
        <v xml:space="preserve">   Hydrogénocarbonate [bicarbonate] de sodium</v>
      </c>
      <c r="C9452">
        <v>447628</v>
      </c>
      <c r="D9452">
        <v>2620</v>
      </c>
    </row>
    <row r="9453" spans="1:4" x14ac:dyDescent="0.25">
      <c r="A9453" t="str">
        <f>T("   283650")</f>
        <v xml:space="preserve">   283650</v>
      </c>
      <c r="B9453" t="str">
        <f>T("   Carbonate de calcium")</f>
        <v xml:space="preserve">   Carbonate de calcium</v>
      </c>
      <c r="C9453">
        <v>573750</v>
      </c>
      <c r="D9453">
        <v>11475</v>
      </c>
    </row>
    <row r="9454" spans="1:4" x14ac:dyDescent="0.25">
      <c r="A9454" t="str">
        <f>T("   284590")</f>
        <v xml:space="preserve">   284590</v>
      </c>
      <c r="B9454" t="str">
        <f>T("   ISOTOPES, NON-RADIOACTIFS ET LEURS COMPOSÉS INORGANIQUES OU ORGANIQUES, DE CONSTITUTION CHIMIQUE DÉFINIE OU NON (À L'EXCL. DE L'EAU LOURDE [OXYDE DE DEUTÉRIUM])")</f>
        <v xml:space="preserve">   ISOTOPES, NON-RADIOACTIFS ET LEURS COMPOSÉS INORGANIQUES OU ORGANIQUES, DE CONSTITUTION CHIMIQUE DÉFINIE OU NON (À L'EXCL. DE L'EAU LOURDE [OXYDE DE DEUTÉRIUM])</v>
      </c>
      <c r="C9454">
        <v>582087</v>
      </c>
      <c r="D9454">
        <v>2978</v>
      </c>
    </row>
    <row r="9455" spans="1:4" x14ac:dyDescent="0.25">
      <c r="A9455" t="str">
        <f>T("   284700")</f>
        <v xml:space="preserve">   284700</v>
      </c>
      <c r="B9455" t="str">
        <f>T("   Peroxyde d'hydrogène [eau oxygénée], même solidifié avec de l'urée")</f>
        <v xml:space="preserve">   Peroxyde d'hydrogène [eau oxygénée], même solidifié avec de l'urée</v>
      </c>
      <c r="C9455">
        <v>2916204</v>
      </c>
      <c r="D9455">
        <v>13600</v>
      </c>
    </row>
    <row r="9456" spans="1:4" x14ac:dyDescent="0.25">
      <c r="A9456" t="str">
        <f>T("   284910")</f>
        <v xml:space="preserve">   284910</v>
      </c>
      <c r="B9456" t="str">
        <f>T("   Carbure de calcium, de constitution chimique définie ou non")</f>
        <v xml:space="preserve">   Carbure de calcium, de constitution chimique définie ou non</v>
      </c>
      <c r="C9456">
        <v>21850000</v>
      </c>
      <c r="D9456">
        <v>243899</v>
      </c>
    </row>
    <row r="9457" spans="1:4" x14ac:dyDescent="0.25">
      <c r="A9457" t="str">
        <f>T("   290110")</f>
        <v xml:space="preserve">   290110</v>
      </c>
      <c r="B9457" t="str">
        <f>T("   Hydrocarbures acycliques, saturés")</f>
        <v xml:space="preserve">   Hydrocarbures acycliques, saturés</v>
      </c>
      <c r="C9457">
        <v>25703143</v>
      </c>
      <c r="D9457">
        <v>21432</v>
      </c>
    </row>
    <row r="9458" spans="1:4" x14ac:dyDescent="0.25">
      <c r="A9458" t="str">
        <f>T("   290545")</f>
        <v xml:space="preserve">   290545</v>
      </c>
      <c r="B9458" t="str">
        <f>T("   Glycérol")</f>
        <v xml:space="preserve">   Glycérol</v>
      </c>
      <c r="C9458">
        <v>1531588</v>
      </c>
      <c r="D9458">
        <v>7735</v>
      </c>
    </row>
    <row r="9459" spans="1:4" x14ac:dyDescent="0.25">
      <c r="A9459" t="str">
        <f>T("   291411")</f>
        <v xml:space="preserve">   291411</v>
      </c>
      <c r="B9459" t="str">
        <f>T("   Acétone")</f>
        <v xml:space="preserve">   Acétone</v>
      </c>
      <c r="C9459">
        <v>563100</v>
      </c>
      <c r="D9459">
        <v>310</v>
      </c>
    </row>
    <row r="9460" spans="1:4" x14ac:dyDescent="0.25">
      <c r="A9460" t="str">
        <f>T("   292242")</f>
        <v xml:space="preserve">   292242</v>
      </c>
      <c r="B9460" t="str">
        <f>T("   Acide glutamique et ses sels")</f>
        <v xml:space="preserve">   Acide glutamique et ses sels</v>
      </c>
      <c r="C9460">
        <v>17495810</v>
      </c>
      <c r="D9460">
        <v>70920</v>
      </c>
    </row>
    <row r="9461" spans="1:4" x14ac:dyDescent="0.25">
      <c r="A9461" t="str">
        <f>T("   293399")</f>
        <v xml:space="preserve">   293399</v>
      </c>
      <c r="B9461" t="s">
        <v>70</v>
      </c>
      <c r="C9461">
        <v>104118</v>
      </c>
      <c r="D9461">
        <v>435</v>
      </c>
    </row>
    <row r="9462" spans="1:4" x14ac:dyDescent="0.25">
      <c r="A9462" t="str">
        <f>T("   300410")</f>
        <v xml:space="preserve">   300410</v>
      </c>
      <c r="B9462" t="s">
        <v>74</v>
      </c>
      <c r="C9462">
        <v>29783621</v>
      </c>
      <c r="D9462">
        <v>5380</v>
      </c>
    </row>
    <row r="9463" spans="1:4" x14ac:dyDescent="0.25">
      <c r="A9463" t="str">
        <f>T("   300420")</f>
        <v xml:space="preserve">   300420</v>
      </c>
      <c r="B9463" t="s">
        <v>75</v>
      </c>
      <c r="C9463">
        <v>518119727</v>
      </c>
      <c r="D9463">
        <v>4486911.5</v>
      </c>
    </row>
    <row r="9464" spans="1:4" x14ac:dyDescent="0.25">
      <c r="A9464" t="str">
        <f>T("   300431")</f>
        <v xml:space="preserve">   300431</v>
      </c>
      <c r="B9464" t="str">
        <f>T("   Médicaments contenant de l'insuline, mais ne contenant pas d'antibiotiques, présentés sous forme de doses [y.c. ceux destinés à être administrés par voie percutanée] ou conditionnés pour la vente au détail")</f>
        <v xml:space="preserve">   Médicaments contenant de l'insuline, mais ne contenant pas d'antibiotiques, présentés sous forme de doses [y.c. ceux destinés à être administrés par voie percutanée] ou conditionnés pour la vente au détail</v>
      </c>
      <c r="C9464">
        <v>3404203</v>
      </c>
      <c r="D9464">
        <v>480</v>
      </c>
    </row>
    <row r="9465" spans="1:4" x14ac:dyDescent="0.25">
      <c r="A9465" t="str">
        <f>T("   300439")</f>
        <v xml:space="preserve">   300439</v>
      </c>
      <c r="B9465" t="s">
        <v>76</v>
      </c>
      <c r="C9465">
        <v>137865676</v>
      </c>
      <c r="D9465">
        <v>292601.51</v>
      </c>
    </row>
    <row r="9466" spans="1:4" x14ac:dyDescent="0.25">
      <c r="A9466" t="str">
        <f>T("   300490")</f>
        <v xml:space="preserve">   300490</v>
      </c>
      <c r="B9466" t="s">
        <v>78</v>
      </c>
      <c r="C9466">
        <v>130918441</v>
      </c>
      <c r="D9466">
        <v>926671.3</v>
      </c>
    </row>
    <row r="9467" spans="1:4" x14ac:dyDescent="0.25">
      <c r="A9467" t="str">
        <f>T("   300510")</f>
        <v xml:space="preserve">   300510</v>
      </c>
      <c r="B9467" t="str">
        <f>T("   Pansements adhésifs et autres articles ayant une couche adhésive, imprégnés ou recouverts de substances pharmaceutiques ou conditionnés pour la vente au détail à des fins médicales, chirurgicales, dentaires ou vétérinaires")</f>
        <v xml:space="preserve">   Pansements adhésifs et autres articles ayant une couche adhésive, imprégnés ou recouverts de substances pharmaceutiques ou conditionnés pour la vente au détail à des fins médicales, chirurgicales, dentaires ou vétérinaires</v>
      </c>
      <c r="C9467">
        <v>1364286</v>
      </c>
      <c r="D9467">
        <v>4120</v>
      </c>
    </row>
    <row r="9468" spans="1:4" x14ac:dyDescent="0.25">
      <c r="A9468" t="str">
        <f>T("   300590")</f>
        <v xml:space="preserve">   300590</v>
      </c>
      <c r="B9468" t="s">
        <v>79</v>
      </c>
      <c r="C9468">
        <v>1702050</v>
      </c>
      <c r="D9468">
        <v>280</v>
      </c>
    </row>
    <row r="9469" spans="1:4" x14ac:dyDescent="0.25">
      <c r="A9469" t="str">
        <f>T("   310100")</f>
        <v xml:space="preserve">   310100</v>
      </c>
      <c r="B9469" t="s">
        <v>82</v>
      </c>
      <c r="C9469">
        <v>100000</v>
      </c>
      <c r="D9469">
        <v>8400</v>
      </c>
    </row>
    <row r="9470" spans="1:4" x14ac:dyDescent="0.25">
      <c r="A9470" t="str">
        <f>T("   310520")</f>
        <v xml:space="preserve">   310520</v>
      </c>
      <c r="B9470" t="str">
        <f>T("   Engrais minéraux ou chimiques contenant les trois éléments fertilisants : azote, phosphore et potassium (à l'excl. des produits présentés soit en tablettes ou formes simil., soit en emballages d'un poids brut &lt;= 10 kg)")</f>
        <v xml:space="preserve">   Engrais minéraux ou chimiques contenant les trois éléments fertilisants : azote, phosphore et potassium (à l'excl. des produits présentés soit en tablettes ou formes simil., soit en emballages d'un poids brut &lt;= 10 kg)</v>
      </c>
      <c r="C9470">
        <v>250671</v>
      </c>
      <c r="D9470">
        <v>16000</v>
      </c>
    </row>
    <row r="9471" spans="1:4" x14ac:dyDescent="0.25">
      <c r="A9471" t="str">
        <f>T("   310590")</f>
        <v xml:space="preserve">   310590</v>
      </c>
      <c r="B9471" t="s">
        <v>84</v>
      </c>
      <c r="C9471">
        <v>179048</v>
      </c>
      <c r="D9471">
        <v>730</v>
      </c>
    </row>
    <row r="9472" spans="1:4" x14ac:dyDescent="0.25">
      <c r="A9472" t="str">
        <f>T("   320120")</f>
        <v xml:space="preserve">   320120</v>
      </c>
      <c r="B9472" t="str">
        <f>T("   Extrait de mimosa")</f>
        <v xml:space="preserve">   Extrait de mimosa</v>
      </c>
      <c r="C9472">
        <v>500000</v>
      </c>
      <c r="D9472">
        <v>1250</v>
      </c>
    </row>
    <row r="9473" spans="1:4" x14ac:dyDescent="0.25">
      <c r="A9473" t="str">
        <f>T("   320411")</f>
        <v xml:space="preserve">   320411</v>
      </c>
      <c r="B9473" t="s">
        <v>86</v>
      </c>
      <c r="C9473">
        <v>214860</v>
      </c>
      <c r="D9473">
        <v>280</v>
      </c>
    </row>
    <row r="9474" spans="1:4" x14ac:dyDescent="0.25">
      <c r="A9474" t="str">
        <f>T("   320414")</f>
        <v xml:space="preserve">   320414</v>
      </c>
      <c r="B9474" t="s">
        <v>89</v>
      </c>
      <c r="C9474">
        <v>125334</v>
      </c>
      <c r="D9474">
        <v>300</v>
      </c>
    </row>
    <row r="9475" spans="1:4" x14ac:dyDescent="0.25">
      <c r="A9475" t="str">
        <f>T("   320419")</f>
        <v xml:space="preserve">   320419</v>
      </c>
      <c r="B9475" t="s">
        <v>91</v>
      </c>
      <c r="C9475">
        <v>689955</v>
      </c>
      <c r="D9475">
        <v>610</v>
      </c>
    </row>
    <row r="9476" spans="1:4" x14ac:dyDescent="0.25">
      <c r="A9476" t="str">
        <f>T("   320490")</f>
        <v xml:space="preserve">   320490</v>
      </c>
      <c r="B9476" t="str">
        <f>T("   Produits organiques synthétiques des types utilisés comme luminophores, même de constitution chimique définie")</f>
        <v xml:space="preserve">   Produits organiques synthétiques des types utilisés comme luminophores, même de constitution chimique définie</v>
      </c>
      <c r="C9476">
        <v>920000</v>
      </c>
      <c r="D9476">
        <v>4500</v>
      </c>
    </row>
    <row r="9477" spans="1:4" x14ac:dyDescent="0.25">
      <c r="A9477" t="str">
        <f>T("   320820")</f>
        <v xml:space="preserve">   320820</v>
      </c>
      <c r="B9477" t="s">
        <v>95</v>
      </c>
      <c r="C9477">
        <v>177132798</v>
      </c>
      <c r="D9477">
        <v>782549</v>
      </c>
    </row>
    <row r="9478" spans="1:4" x14ac:dyDescent="0.25">
      <c r="A9478" t="str">
        <f>T("   320890")</f>
        <v xml:space="preserve">   320890</v>
      </c>
      <c r="B9478" t="s">
        <v>96</v>
      </c>
      <c r="C9478">
        <v>3027690</v>
      </c>
      <c r="D9478">
        <v>16850</v>
      </c>
    </row>
    <row r="9479" spans="1:4" x14ac:dyDescent="0.25">
      <c r="A9479" t="str">
        <f>T("   320910")</f>
        <v xml:space="preserve">   320910</v>
      </c>
      <c r="B9479" t="str">
        <f>T("   Peintures et vernis à base de polymères acryliques ou vinyliques, dispersés ou dissous dans un milieu aqueux")</f>
        <v xml:space="preserve">   Peintures et vernis à base de polymères acryliques ou vinyliques, dispersés ou dissous dans un milieu aqueux</v>
      </c>
      <c r="C9479">
        <v>2230252</v>
      </c>
      <c r="D9479">
        <v>13592</v>
      </c>
    </row>
    <row r="9480" spans="1:4" x14ac:dyDescent="0.25">
      <c r="A9480" t="str">
        <f>T("   320990")</f>
        <v xml:space="preserve">   320990</v>
      </c>
      <c r="B9480" t="str">
        <f>T("   Peintures et vernis à base de polymères synthétiques ou de polymères naturels modifiés, dispersés ou dissous dans un milieu aqueux (à l'excl. des produits à base de polymères acryliques ou vinyliques)")</f>
        <v xml:space="preserve">   Peintures et vernis à base de polymères synthétiques ou de polymères naturels modifiés, dispersés ou dissous dans un milieu aqueux (à l'excl. des produits à base de polymères acryliques ou vinyliques)</v>
      </c>
      <c r="C9480">
        <v>381213</v>
      </c>
      <c r="D9480">
        <v>8000</v>
      </c>
    </row>
    <row r="9481" spans="1:4" x14ac:dyDescent="0.25">
      <c r="A9481" t="str">
        <f>T("   321000")</f>
        <v xml:space="preserve">   321000</v>
      </c>
      <c r="B9481" t="str">
        <f>T("   Peintures et vernis (à l'excl. des produits à base de polymères synthétiques ou de polymères naturels modifiés); pigments à l'eau préparés des types utilisés pour le finissage des cuirs")</f>
        <v xml:space="preserve">   Peintures et vernis (à l'excl. des produits à base de polymères synthétiques ou de polymères naturels modifiés); pigments à l'eau préparés des types utilisés pour le finissage des cuirs</v>
      </c>
      <c r="C9481">
        <v>3477273</v>
      </c>
      <c r="D9481">
        <v>22680</v>
      </c>
    </row>
    <row r="9482" spans="1:4" x14ac:dyDescent="0.25">
      <c r="A9482" t="str">
        <f>T("   321410")</f>
        <v xml:space="preserve">   321410</v>
      </c>
      <c r="B9482" t="str">
        <f>T("   Mastic de vitrier, ciments de résine et autres mastics; enduits utilisés en peinture")</f>
        <v xml:space="preserve">   Mastic de vitrier, ciments de résine et autres mastics; enduits utilisés en peinture</v>
      </c>
      <c r="C9482">
        <v>18812875</v>
      </c>
      <c r="D9482">
        <v>95435</v>
      </c>
    </row>
    <row r="9483" spans="1:4" x14ac:dyDescent="0.25">
      <c r="A9483" t="str">
        <f>T("   321490")</f>
        <v xml:space="preserve">   321490</v>
      </c>
      <c r="B9483" t="str">
        <f>T("   Enduits non réfractaires des types utilisés en maçonnerie")</f>
        <v xml:space="preserve">   Enduits non réfractaires des types utilisés en maçonnerie</v>
      </c>
      <c r="C9483">
        <v>26000000</v>
      </c>
      <c r="D9483">
        <v>180740</v>
      </c>
    </row>
    <row r="9484" spans="1:4" x14ac:dyDescent="0.25">
      <c r="A9484" t="str">
        <f>T("   330190")</f>
        <v xml:space="preserve">   330190</v>
      </c>
      <c r="B9484" t="s">
        <v>98</v>
      </c>
      <c r="C9484">
        <v>1485277</v>
      </c>
      <c r="D9484">
        <v>3323</v>
      </c>
    </row>
    <row r="9485" spans="1:4" x14ac:dyDescent="0.25">
      <c r="A9485" t="str">
        <f>T("   330210")</f>
        <v xml:space="preserve">   330210</v>
      </c>
      <c r="B9485" t="str">
        <f>T("   Mélanges de substances odoriférantes et mélanges, y.c. les solutions alcooliques, à base d'une ou de plusieurs de ces substances, des types utilisés comme matières de base pour les industries des produits alimentaires et des boissons")</f>
        <v xml:space="preserve">   Mélanges de substances odoriférantes et mélanges, y.c. les solutions alcooliques, à base d'une ou de plusieurs de ces substances, des types utilisés comme matières de base pour les industries des produits alimentaires et des boissons</v>
      </c>
      <c r="C9485">
        <v>15853637</v>
      </c>
      <c r="D9485">
        <v>634</v>
      </c>
    </row>
    <row r="9486" spans="1:4" x14ac:dyDescent="0.25">
      <c r="A9486" t="str">
        <f>T("   330300")</f>
        <v xml:space="preserve">   330300</v>
      </c>
      <c r="B9486" t="str">
        <f>T("   Parfums et eaux de toilette (à l'excl. des préparations pour l'après-rasage [lotions after-shave] et des désodorisants corporels)")</f>
        <v xml:space="preserve">   Parfums et eaux de toilette (à l'excl. des préparations pour l'après-rasage [lotions after-shave] et des désodorisants corporels)</v>
      </c>
      <c r="C9486">
        <v>21550072</v>
      </c>
      <c r="D9486">
        <v>40518</v>
      </c>
    </row>
    <row r="9487" spans="1:4" x14ac:dyDescent="0.25">
      <c r="A9487" t="str">
        <f>T("   330410")</f>
        <v xml:space="preserve">   330410</v>
      </c>
      <c r="B9487" t="str">
        <f>T("   Produits de maquillage pour les lèvres")</f>
        <v xml:space="preserve">   Produits de maquillage pour les lèvres</v>
      </c>
      <c r="C9487">
        <v>22403</v>
      </c>
      <c r="D9487">
        <v>150</v>
      </c>
    </row>
    <row r="9488" spans="1:4" x14ac:dyDescent="0.25">
      <c r="A9488" t="str">
        <f>T("   330420")</f>
        <v xml:space="preserve">   330420</v>
      </c>
      <c r="B9488" t="str">
        <f>T("   Produits de maquillage pour les yeux")</f>
        <v xml:space="preserve">   Produits de maquillage pour les yeux</v>
      </c>
      <c r="C9488">
        <v>186694</v>
      </c>
      <c r="D9488">
        <v>50</v>
      </c>
    </row>
    <row r="9489" spans="1:4" x14ac:dyDescent="0.25">
      <c r="A9489" t="str">
        <f>T("   330430")</f>
        <v xml:space="preserve">   330430</v>
      </c>
      <c r="B9489" t="str">
        <f>T("   Préparations pour manucures ou pédicures")</f>
        <v xml:space="preserve">   Préparations pour manucures ou pédicures</v>
      </c>
      <c r="C9489">
        <v>192296</v>
      </c>
      <c r="D9489">
        <v>1140</v>
      </c>
    </row>
    <row r="9490" spans="1:4" x14ac:dyDescent="0.25">
      <c r="A9490" t="str">
        <f>T("   330491")</f>
        <v xml:space="preserve">   330491</v>
      </c>
      <c r="B9490" t="str">
        <f>T("   Poudres pour le maquillage ou l'entretien ou les soins de la peau, y.c. les poudres pour bébés et les poudres compactes (à l'excl. des médicaments)")</f>
        <v xml:space="preserve">   Poudres pour le maquillage ou l'entretien ou les soins de la peau, y.c. les poudres pour bébés et les poudres compactes (à l'excl. des médicaments)</v>
      </c>
      <c r="C9490">
        <v>2874402</v>
      </c>
      <c r="D9490">
        <v>14182</v>
      </c>
    </row>
    <row r="9491" spans="1:4" x14ac:dyDescent="0.25">
      <c r="A9491" t="str">
        <f>T("   330499")</f>
        <v xml:space="preserve">   330499</v>
      </c>
      <c r="B9491" t="s">
        <v>100</v>
      </c>
      <c r="C9491">
        <v>971770017</v>
      </c>
      <c r="D9491">
        <v>3863808</v>
      </c>
    </row>
    <row r="9492" spans="1:4" x14ac:dyDescent="0.25">
      <c r="A9492" t="str">
        <f>T("   330520")</f>
        <v xml:space="preserve">   330520</v>
      </c>
      <c r="B9492" t="str">
        <f>T("   Préparations pour l'ondulation ou le défrisage permanents")</f>
        <v xml:space="preserve">   Préparations pour l'ondulation ou le défrisage permanents</v>
      </c>
      <c r="C9492">
        <v>1537341</v>
      </c>
      <c r="D9492">
        <v>3375</v>
      </c>
    </row>
    <row r="9493" spans="1:4" x14ac:dyDescent="0.25">
      <c r="A9493" t="str">
        <f>T("   330610")</f>
        <v xml:space="preserve">   330610</v>
      </c>
      <c r="B9493" t="str">
        <f>T("   Dentifrices, préparés, même des types utilisés par les dentistes")</f>
        <v xml:space="preserve">   Dentifrices, préparés, même des types utilisés par les dentistes</v>
      </c>
      <c r="C9493">
        <v>136460170</v>
      </c>
      <c r="D9493">
        <v>562658</v>
      </c>
    </row>
    <row r="9494" spans="1:4" x14ac:dyDescent="0.25">
      <c r="A9494" t="str">
        <f>T("   330720")</f>
        <v xml:space="preserve">   330720</v>
      </c>
      <c r="B9494" t="str">
        <f>T("   Désodorisants corporels et antisudoraux, préparés")</f>
        <v xml:space="preserve">   Désodorisants corporels et antisudoraux, préparés</v>
      </c>
      <c r="C9494">
        <v>1922151</v>
      </c>
      <c r="D9494">
        <v>14308</v>
      </c>
    </row>
    <row r="9495" spans="1:4" x14ac:dyDescent="0.25">
      <c r="A9495" t="str">
        <f>T("   330730")</f>
        <v xml:space="preserve">   330730</v>
      </c>
      <c r="B9495" t="str">
        <f>T("   Sels parfumés et autres préparations pour bains")</f>
        <v xml:space="preserve">   Sels parfumés et autres préparations pour bains</v>
      </c>
      <c r="C9495">
        <v>150410</v>
      </c>
      <c r="D9495">
        <v>1140</v>
      </c>
    </row>
    <row r="9496" spans="1:4" x14ac:dyDescent="0.25">
      <c r="A9496" t="str">
        <f>T("   330749")</f>
        <v xml:space="preserve">   330749</v>
      </c>
      <c r="B9496" t="str">
        <f>T("   Préparations pour parfumer ou pour désodoriser les locaux, y.c. les préparations odoriférantes pour cérémonies religieuses (à l'excl. de l'agarbatti et des autres préparations odoriférantes agissant par combustion)")</f>
        <v xml:space="preserve">   Préparations pour parfumer ou pour désodoriser les locaux, y.c. les préparations odoriférantes pour cérémonies religieuses (à l'excl. de l'agarbatti et des autres préparations odoriférantes agissant par combustion)</v>
      </c>
      <c r="C9496">
        <v>17738</v>
      </c>
      <c r="D9496">
        <v>85</v>
      </c>
    </row>
    <row r="9497" spans="1:4" x14ac:dyDescent="0.25">
      <c r="A9497" t="str">
        <f>T("   340111")</f>
        <v xml:space="preserve">   340111</v>
      </c>
      <c r="B9497" t="s">
        <v>101</v>
      </c>
      <c r="C9497">
        <v>258020490</v>
      </c>
      <c r="D9497">
        <v>995614</v>
      </c>
    </row>
    <row r="9498" spans="1:4" x14ac:dyDescent="0.25">
      <c r="A9498" t="str">
        <f>T("   340119")</f>
        <v xml:space="preserve">   340119</v>
      </c>
      <c r="B9498" t="s">
        <v>102</v>
      </c>
      <c r="C9498">
        <v>989240421</v>
      </c>
      <c r="D9498">
        <v>4041757</v>
      </c>
    </row>
    <row r="9499" spans="1:4" x14ac:dyDescent="0.25">
      <c r="A9499" t="str">
        <f>T("   340120")</f>
        <v xml:space="preserve">   340120</v>
      </c>
      <c r="B9499" t="str">
        <f>T("   Savons en flocons, en paillettes, en granulés ou en poudres et savons liquides ou pâteux")</f>
        <v xml:space="preserve">   Savons en flocons, en paillettes, en granulés ou en poudres et savons liquides ou pâteux</v>
      </c>
      <c r="C9499">
        <v>62683378</v>
      </c>
      <c r="D9499">
        <v>236257</v>
      </c>
    </row>
    <row r="9500" spans="1:4" x14ac:dyDescent="0.25">
      <c r="A9500" t="str">
        <f>T("   340130")</f>
        <v xml:space="preserve">   340130</v>
      </c>
      <c r="B9500" t="str">
        <f>T("   Produits et préparations organiques tensio-actifs destinés au lavage de la peau, sous forme de liquide ou de crème, conditionnés pour la vente au détail, même contenant  du savon")</f>
        <v xml:space="preserve">   Produits et préparations organiques tensio-actifs destinés au lavage de la peau, sous forme de liquide ou de crème, conditionnés pour la vente au détail, même contenant  du savon</v>
      </c>
      <c r="C9500">
        <v>906606</v>
      </c>
      <c r="D9500">
        <v>3855</v>
      </c>
    </row>
    <row r="9501" spans="1:4" x14ac:dyDescent="0.25">
      <c r="A9501" t="str">
        <f>T("   340219")</f>
        <v xml:space="preserve">   340219</v>
      </c>
      <c r="B9501" t="str">
        <f>T("   Agents de surface organiques, même conditionnés pour la vente au détail (à l'excl. des savons et des agents de surface anioniques, cationiques ou non ioniques)")</f>
        <v xml:space="preserve">   Agents de surface organiques, même conditionnés pour la vente au détail (à l'excl. des savons et des agents de surface anioniques, cationiques ou non ioniques)</v>
      </c>
      <c r="C9501">
        <v>7450000</v>
      </c>
      <c r="D9501">
        <v>27020</v>
      </c>
    </row>
    <row r="9502" spans="1:4" x14ac:dyDescent="0.25">
      <c r="A9502" t="str">
        <f>T("   340220")</f>
        <v xml:space="preserve">   340220</v>
      </c>
      <c r="B9502" t="s">
        <v>103</v>
      </c>
      <c r="C9502">
        <v>397047400</v>
      </c>
      <c r="D9502">
        <v>2062838</v>
      </c>
    </row>
    <row r="9503" spans="1:4" x14ac:dyDescent="0.25">
      <c r="A9503" t="str">
        <f>T("   340290")</f>
        <v xml:space="preserve">   340290</v>
      </c>
      <c r="B9503" t="s">
        <v>104</v>
      </c>
      <c r="C9503">
        <v>74803263</v>
      </c>
      <c r="D9503">
        <v>423265</v>
      </c>
    </row>
    <row r="9504" spans="1:4" x14ac:dyDescent="0.25">
      <c r="A9504" t="str">
        <f>T("   340510")</f>
        <v xml:space="preserve">   340510</v>
      </c>
      <c r="B9504" t="s">
        <v>108</v>
      </c>
      <c r="C9504">
        <v>600000</v>
      </c>
      <c r="D9504">
        <v>2500</v>
      </c>
    </row>
    <row r="9505" spans="1:4" x14ac:dyDescent="0.25">
      <c r="A9505" t="str">
        <f>T("   340600")</f>
        <v xml:space="preserve">   340600</v>
      </c>
      <c r="B9505" t="str">
        <f>T("   Bougies, chandelles, cierges et articles simil.")</f>
        <v xml:space="preserve">   Bougies, chandelles, cierges et articles simil.</v>
      </c>
      <c r="C9505">
        <v>66131030</v>
      </c>
      <c r="D9505">
        <v>380739</v>
      </c>
    </row>
    <row r="9506" spans="1:4" x14ac:dyDescent="0.25">
      <c r="A9506" t="str">
        <f>T("   350110")</f>
        <v xml:space="preserve">   350110</v>
      </c>
      <c r="B9506" t="str">
        <f>T("   Caséines")</f>
        <v xml:space="preserve">   Caséines</v>
      </c>
      <c r="C9506">
        <v>17905</v>
      </c>
      <c r="D9506">
        <v>80</v>
      </c>
    </row>
    <row r="9507" spans="1:4" x14ac:dyDescent="0.25">
      <c r="A9507" t="str">
        <f>T("   350190")</f>
        <v xml:space="preserve">   350190</v>
      </c>
      <c r="B9507" t="str">
        <f>T("   Caséinates et autres dérivés des caséines; colles de caséine (à l'excl. des produits conditionnés pour la vente au détail comme colles et d'un poids net &lt;= 1 kg)")</f>
        <v xml:space="preserve">   Caséinates et autres dérivés des caséines; colles de caséine (à l'excl. des produits conditionnés pour la vente au détail comme colles et d'un poids net &lt;= 1 kg)</v>
      </c>
      <c r="C9507">
        <v>290909</v>
      </c>
      <c r="D9507">
        <v>830</v>
      </c>
    </row>
    <row r="9508" spans="1:4" x14ac:dyDescent="0.25">
      <c r="A9508" t="str">
        <f>T("   350610")</f>
        <v xml:space="preserve">   350610</v>
      </c>
      <c r="B9508" t="str">
        <f>T("   Produits de toute espèce à usage de colles ou d'adhésifs, conditionnés pour la vente au détail comme colles ou adhésifs, d'un poids net &lt;= 1 kg")</f>
        <v xml:space="preserve">   Produits de toute espèce à usage de colles ou d'adhésifs, conditionnés pour la vente au détail comme colles ou adhésifs, d'un poids net &lt;= 1 kg</v>
      </c>
      <c r="C9508">
        <v>7364327</v>
      </c>
      <c r="D9508">
        <v>26080</v>
      </c>
    </row>
    <row r="9509" spans="1:4" x14ac:dyDescent="0.25">
      <c r="A9509" t="str">
        <f>T("   350691")</f>
        <v xml:space="preserve">   350691</v>
      </c>
      <c r="B9509" t="str">
        <f>T("   Adhésifs à base de polymères du n° 3901 à 3913 ou de caoutchouc (à l'excl. des produits conditionnés pour la vente au détail comme colles ou adhésifs, d'un poids net &lt;= 1 kg)")</f>
        <v xml:space="preserve">   Adhésifs à base de polymères du n° 3901 à 3913 ou de caoutchouc (à l'excl. des produits conditionnés pour la vente au détail comme colles ou adhésifs, d'un poids net &lt;= 1 kg)</v>
      </c>
      <c r="C9509">
        <v>885609</v>
      </c>
      <c r="D9509">
        <v>6215</v>
      </c>
    </row>
    <row r="9510" spans="1:4" x14ac:dyDescent="0.25">
      <c r="A9510" t="str">
        <f>T("   350699")</f>
        <v xml:space="preserve">   350699</v>
      </c>
      <c r="B9510" t="str">
        <f>T("   Colles et autres adhésifs préparés, n.d.a.")</f>
        <v xml:space="preserve">   Colles et autres adhésifs préparés, n.d.a.</v>
      </c>
      <c r="C9510">
        <v>2187759</v>
      </c>
      <c r="D9510">
        <v>16870</v>
      </c>
    </row>
    <row r="9511" spans="1:4" x14ac:dyDescent="0.25">
      <c r="A9511" t="str">
        <f>T("   360500")</f>
        <v xml:space="preserve">   360500</v>
      </c>
      <c r="B9511" t="str">
        <f>T("   Allumettes (autres que les articles de pyrotechnie du n° 3604)")</f>
        <v xml:space="preserve">   Allumettes (autres que les articles de pyrotechnie du n° 3604)</v>
      </c>
      <c r="C9511">
        <v>46932874</v>
      </c>
      <c r="D9511">
        <v>171044</v>
      </c>
    </row>
    <row r="9512" spans="1:4" x14ac:dyDescent="0.25">
      <c r="A9512" t="str">
        <f>T("   370254")</f>
        <v xml:space="preserve">   370254</v>
      </c>
      <c r="B9512" t="s">
        <v>115</v>
      </c>
      <c r="C9512">
        <v>786455</v>
      </c>
      <c r="D9512">
        <v>600</v>
      </c>
    </row>
    <row r="9513" spans="1:4" x14ac:dyDescent="0.25">
      <c r="A9513" t="str">
        <f>T("   370320")</f>
        <v xml:space="preserve">   370320</v>
      </c>
      <c r="B9513" t="str">
        <f>T("   PAPIERS, CARTONS ET TEXTILES, PHOTOGRAPHIQUES, SENSIBILISÉS, NON-IMPRESSIONNÉS, POUR LA PHOTOGRAPHIE EN COULEURS [POLYCHROME] (À L'EXCL. DES PRODUITS EN ROULEAUX D'UNE LARGEUR &gt; 610 MM)")</f>
        <v xml:space="preserve">   PAPIERS, CARTONS ET TEXTILES, PHOTOGRAPHIQUES, SENSIBILISÉS, NON-IMPRESSIONNÉS, POUR LA PHOTOGRAPHIE EN COULEURS [POLYCHROME] (À L'EXCL. DES PRODUITS EN ROULEAUX D'UNE LARGEUR &gt; 610 MM)</v>
      </c>
      <c r="C9513">
        <v>873839</v>
      </c>
      <c r="D9513">
        <v>1800</v>
      </c>
    </row>
    <row r="9514" spans="1:4" x14ac:dyDescent="0.25">
      <c r="A9514" t="str">
        <f>T("   370390")</f>
        <v xml:space="preserve">   370390</v>
      </c>
      <c r="B9514" t="str">
        <f>T("   PAPIERS, CARTONS ET TEXTILES, PHOTOGRAPHIQUES, SENSIBILISÉS, NON-IMPRESSIONNÉS, POUR LA PHOTOGRAPHIE EN MONOCHROME (À L'EXCL. DES PRODUITS EN ROULEAUX D'UNE LARGEUR &gt; 610 MM)")</f>
        <v xml:space="preserve">   PAPIERS, CARTONS ET TEXTILES, PHOTOGRAPHIQUES, SENSIBILISÉS, NON-IMPRESSIONNÉS, POUR LA PHOTOGRAPHIE EN MONOCHROME (À L'EXCL. DES PRODUITS EN ROULEAUX D'UNE LARGEUR &gt; 610 MM)</v>
      </c>
      <c r="C9514">
        <v>4155378</v>
      </c>
      <c r="D9514">
        <v>8510</v>
      </c>
    </row>
    <row r="9515" spans="1:4" x14ac:dyDescent="0.25">
      <c r="A9515" t="str">
        <f>T("   380700")</f>
        <v xml:space="preserve">   380700</v>
      </c>
      <c r="B9515" t="str">
        <f>T("   Goudrons de bois; huiles de goudron de bois; créosote de bois; méthylène; poix végétales; poix de brasserie et préparations simil. à base de colophanes, d'acides résiniques ou de poix végétales")</f>
        <v xml:space="preserve">   Goudrons de bois; huiles de goudron de bois; créosote de bois; méthylène; poix végétales; poix de brasserie et préparations simil. à base de colophanes, d'acides résiniques ou de poix végétales</v>
      </c>
      <c r="C9515">
        <v>29120</v>
      </c>
      <c r="D9515">
        <v>220</v>
      </c>
    </row>
    <row r="9516" spans="1:4" x14ac:dyDescent="0.25">
      <c r="A9516" t="str">
        <f>T("   380810")</f>
        <v xml:space="preserve">   380810</v>
      </c>
      <c r="B9516" t="str">
        <f>T("   Insecticides présentés dans des formes ou emballages de vente au détail ou à l'état de préparations ou sous forme d'articles")</f>
        <v xml:space="preserve">   Insecticides présentés dans des formes ou emballages de vente au détail ou à l'état de préparations ou sous forme d'articles</v>
      </c>
      <c r="C9516">
        <v>165891231</v>
      </c>
      <c r="D9516">
        <v>847708</v>
      </c>
    </row>
    <row r="9517" spans="1:4" x14ac:dyDescent="0.25">
      <c r="A9517" t="str">
        <f>T("   380830")</f>
        <v xml:space="preserve">   380830</v>
      </c>
      <c r="B9517" t="str">
        <f>T("   Herbicides, inhibiteurs de germination et régulateurs de croissance pour plantes, présentés dans des formes ou emballages de vente au détail ou à l'état de préparations ou sous forme d'articles")</f>
        <v xml:space="preserve">   Herbicides, inhibiteurs de germination et régulateurs de croissance pour plantes, présentés dans des formes ou emballages de vente au détail ou à l'état de préparations ou sous forme d'articles</v>
      </c>
      <c r="C9517">
        <v>13306689</v>
      </c>
      <c r="D9517">
        <v>117010</v>
      </c>
    </row>
    <row r="9518" spans="1:4" x14ac:dyDescent="0.25">
      <c r="A9518" t="str">
        <f>T("   380840")</f>
        <v xml:space="preserve">   380840</v>
      </c>
      <c r="B9518" t="str">
        <f>T("   Désinfectants et produits simil., présentés dans des formes ou emballages de vente au détail ou à l'état de préparations ou sous forme d'articles")</f>
        <v xml:space="preserve">   Désinfectants et produits simil., présentés dans des formes ou emballages de vente au détail ou à l'état de préparations ou sous forme d'articles</v>
      </c>
      <c r="C9518">
        <v>1839937</v>
      </c>
      <c r="D9518">
        <v>5620</v>
      </c>
    </row>
    <row r="9519" spans="1:4" x14ac:dyDescent="0.25">
      <c r="A9519" t="str">
        <f>T("   380890")</f>
        <v xml:space="preserve">   380890</v>
      </c>
      <c r="B9519" t="str">
        <f>T("   Antirongeurs et autres produits phytosanitaires, présentés dans des formes ou emballages de vente au détail ou à l'état de préparations ou sous forme d'articles (à l'excl. des insecticides, des fongicides, des herbicides et des désinfectants)")</f>
        <v xml:space="preserve">   Antirongeurs et autres produits phytosanitaires, présentés dans des formes ou emballages de vente au détail ou à l'état de préparations ou sous forme d'articles (à l'excl. des insecticides, des fongicides, des herbicides et des désinfectants)</v>
      </c>
      <c r="C9519">
        <v>32616174</v>
      </c>
      <c r="D9519">
        <v>129716</v>
      </c>
    </row>
    <row r="9520" spans="1:4" x14ac:dyDescent="0.25">
      <c r="A9520" t="str">
        <f>T("   381400")</f>
        <v xml:space="preserve">   381400</v>
      </c>
      <c r="B9520" t="str">
        <f>T("   Solvants et diluants organiques composites, n.d.a.; préparations conçues pour enlever les peintures ou les vernis (à l'excl. des dissolvants pour vernis à ongles)")</f>
        <v xml:space="preserve">   Solvants et diluants organiques composites, n.d.a.; préparations conçues pour enlever les peintures ou les vernis (à l'excl. des dissolvants pour vernis à ongles)</v>
      </c>
      <c r="C9520">
        <v>16547788</v>
      </c>
      <c r="D9520">
        <v>84638</v>
      </c>
    </row>
    <row r="9521" spans="1:4" x14ac:dyDescent="0.25">
      <c r="A9521" t="str">
        <f>T("   382410")</f>
        <v xml:space="preserve">   382410</v>
      </c>
      <c r="B9521" t="str">
        <f>T("   Liants préparés pour moules ou noyaux de fonderie")</f>
        <v xml:space="preserve">   Liants préparés pour moules ou noyaux de fonderie</v>
      </c>
      <c r="C9521">
        <v>872733</v>
      </c>
      <c r="D9521">
        <v>1630</v>
      </c>
    </row>
    <row r="9522" spans="1:4" x14ac:dyDescent="0.25">
      <c r="A9522" t="str">
        <f>T("   382440")</f>
        <v xml:space="preserve">   382440</v>
      </c>
      <c r="B9522" t="str">
        <f>T("   Additifs préparés pour ciments, mortiers ou bétons")</f>
        <v xml:space="preserve">   Additifs préparés pour ciments, mortiers ou bétons</v>
      </c>
      <c r="C9522">
        <v>499500</v>
      </c>
      <c r="D9522">
        <v>1000</v>
      </c>
    </row>
    <row r="9523" spans="1:4" x14ac:dyDescent="0.25">
      <c r="A9523" t="str">
        <f>T("   390190")</f>
        <v xml:space="preserve">   390190</v>
      </c>
      <c r="B9523" t="str">
        <f>T("   Polymères de l'éthylène, sous formes primaires (à l'excl. du polyéthylène ainsi que des copolymères d'éthylène et d'acétate de vinyle)")</f>
        <v xml:space="preserve">   Polymères de l'éthylène, sous formes primaires (à l'excl. du polyéthylène ainsi que des copolymères d'éthylène et d'acétate de vinyle)</v>
      </c>
      <c r="C9523">
        <v>17300000</v>
      </c>
      <c r="D9523">
        <v>133910</v>
      </c>
    </row>
    <row r="9524" spans="1:4" x14ac:dyDescent="0.25">
      <c r="A9524" t="str">
        <f>T("   390290")</f>
        <v xml:space="preserve">   390290</v>
      </c>
      <c r="B9524" t="str">
        <f>T("   Polymères de propylène ou d'autres oléfines, sous formes primaires (à l'excl. du polypropylène, du polyisobutylène et des copolymères de propylène)")</f>
        <v xml:space="preserve">   Polymères de propylène ou d'autres oléfines, sous formes primaires (à l'excl. du polypropylène, du polyisobutylène et des copolymères de propylène)</v>
      </c>
      <c r="C9524">
        <v>2005276</v>
      </c>
      <c r="D9524">
        <v>9290</v>
      </c>
    </row>
    <row r="9525" spans="1:4" x14ac:dyDescent="0.25">
      <c r="A9525" t="str">
        <f>T("   390311")</f>
        <v xml:space="preserve">   390311</v>
      </c>
      <c r="B9525" t="str">
        <f>T("   Polystyrène expansible, sous formes primaires")</f>
        <v xml:space="preserve">   Polystyrène expansible, sous formes primaires</v>
      </c>
      <c r="C9525">
        <v>386983</v>
      </c>
      <c r="D9525">
        <v>780</v>
      </c>
    </row>
    <row r="9526" spans="1:4" x14ac:dyDescent="0.25">
      <c r="A9526" t="str">
        <f>T("   390319")</f>
        <v xml:space="preserve">   390319</v>
      </c>
      <c r="B9526" t="str">
        <f>T("   Polystyrène sous formes primaires (à l'excl. du polystyrène expansible)")</f>
        <v xml:space="preserve">   Polystyrène sous formes primaires (à l'excl. du polystyrène expansible)</v>
      </c>
      <c r="C9526">
        <v>7880110</v>
      </c>
      <c r="D9526">
        <v>14710</v>
      </c>
    </row>
    <row r="9527" spans="1:4" x14ac:dyDescent="0.25">
      <c r="A9527" t="str">
        <f>T("   390720")</f>
        <v xml:space="preserve">   390720</v>
      </c>
      <c r="B9527" t="str">
        <f>T("   Polyéthers, sous formes primaires (à l'excl. des polyacétals)")</f>
        <v xml:space="preserve">   Polyéthers, sous formes primaires (à l'excl. des polyacétals)</v>
      </c>
      <c r="C9527">
        <v>52770</v>
      </c>
      <c r="D9527">
        <v>35</v>
      </c>
    </row>
    <row r="9528" spans="1:4" x14ac:dyDescent="0.25">
      <c r="A9528" t="str">
        <f>T("   390750")</f>
        <v xml:space="preserve">   390750</v>
      </c>
      <c r="B9528" t="str">
        <f>T("   Résines alkydes, sous formes primaires")</f>
        <v xml:space="preserve">   Résines alkydes, sous formes primaires</v>
      </c>
      <c r="C9528">
        <v>351803</v>
      </c>
      <c r="D9528">
        <v>900</v>
      </c>
    </row>
    <row r="9529" spans="1:4" x14ac:dyDescent="0.25">
      <c r="A9529" t="str">
        <f>T("   391710")</f>
        <v xml:space="preserve">   391710</v>
      </c>
      <c r="B9529" t="str">
        <f>T("   Boyaux artificiels en protéines durcies ou en matières plastiques cellulosiques")</f>
        <v xml:space="preserve">   Boyaux artificiels en protéines durcies ou en matières plastiques cellulosiques</v>
      </c>
      <c r="C9529">
        <v>290909</v>
      </c>
      <c r="D9529">
        <v>1200</v>
      </c>
    </row>
    <row r="9530" spans="1:4" x14ac:dyDescent="0.25">
      <c r="A9530" t="str">
        <f>T("   391721")</f>
        <v xml:space="preserve">   391721</v>
      </c>
      <c r="B9530" t="str">
        <f>T("   TUBES ET TUYAUX RIGIDES, EN POLYMÈRES DE L'ÉTHYLÈNE")</f>
        <v xml:space="preserve">   TUBES ET TUYAUX RIGIDES, EN POLYMÈRES DE L'ÉTHYLÈNE</v>
      </c>
      <c r="C9530">
        <v>4150000</v>
      </c>
      <c r="D9530">
        <v>22610</v>
      </c>
    </row>
    <row r="9531" spans="1:4" x14ac:dyDescent="0.25">
      <c r="A9531" t="str">
        <f>T("   391722")</f>
        <v xml:space="preserve">   391722</v>
      </c>
      <c r="B9531" t="str">
        <f>T("   TUBES ET TUYAUX RIGIDES, EN POLYMÈRES DU PROPYLÈNE")</f>
        <v xml:space="preserve">   TUBES ET TUYAUX RIGIDES, EN POLYMÈRES DU PROPYLÈNE</v>
      </c>
      <c r="C9531">
        <v>7500000</v>
      </c>
      <c r="D9531">
        <v>26930</v>
      </c>
    </row>
    <row r="9532" spans="1:4" x14ac:dyDescent="0.25">
      <c r="A9532" t="str">
        <f>T("   391723")</f>
        <v xml:space="preserve">   391723</v>
      </c>
      <c r="B9532" t="str">
        <f>T("   TUBES ET TUYAUX RIGIDES, EN POLYMÈRES DU CHLORURE DE VINYLE")</f>
        <v xml:space="preserve">   TUBES ET TUYAUX RIGIDES, EN POLYMÈRES DU CHLORURE DE VINYLE</v>
      </c>
      <c r="C9532">
        <v>209327761</v>
      </c>
      <c r="D9532">
        <v>527318</v>
      </c>
    </row>
    <row r="9533" spans="1:4" x14ac:dyDescent="0.25">
      <c r="A9533" t="str">
        <f>T("   391729")</f>
        <v xml:space="preserve">   391729</v>
      </c>
      <c r="B9533" t="str">
        <f>T("   TUBES ET TUYAUX RIGIDES, EN MATIÈRES PLASTIQUES (À L'EXCL. DES TUBES ET TUYAUX EN POLYMÈRES DE L'ÉTHYLÈNE, DU PROPYLÈNE OU DU CHLORURE DE VINYLE)")</f>
        <v xml:space="preserve">   TUBES ET TUYAUX RIGIDES, EN MATIÈRES PLASTIQUES (À L'EXCL. DES TUBES ET TUYAUX EN POLYMÈRES DE L'ÉTHYLÈNE, DU PROPYLÈNE OU DU CHLORURE DE VINYLE)</v>
      </c>
      <c r="C9533">
        <v>29987991</v>
      </c>
      <c r="D9533">
        <v>84399</v>
      </c>
    </row>
    <row r="9534" spans="1:4" x14ac:dyDescent="0.25">
      <c r="A9534" t="str">
        <f>T("   391739")</f>
        <v xml:space="preserve">   391739</v>
      </c>
      <c r="B9534" t="str">
        <f>T("   TUBES ET TUYAUX SOUPLES, EN MATIÈRES PLASTIQUES, RENFORCÉS D'AUTRES MATIÈRES OU ASSOCIÉS À D'AUTRES MATIÈRES (À L'EXCL. DES PRODUITS POUVANT SUPPORTER UNE PRESSION &gt;= 27,6 MPA)")</f>
        <v xml:space="preserve">   TUBES ET TUYAUX SOUPLES, EN MATIÈRES PLASTIQUES, RENFORCÉS D'AUTRES MATIÈRES OU ASSOCIÉS À D'AUTRES MATIÈRES (À L'EXCL. DES PRODUITS POUVANT SUPPORTER UNE PRESSION &gt;= 27,6 MPA)</v>
      </c>
      <c r="C9534">
        <v>3316976</v>
      </c>
      <c r="D9534">
        <v>24255</v>
      </c>
    </row>
    <row r="9535" spans="1:4" x14ac:dyDescent="0.25">
      <c r="A9535" t="str">
        <f>T("   391740")</f>
        <v xml:space="preserve">   391740</v>
      </c>
      <c r="B9535" t="str">
        <f>T("   Accessoires pour tubes ou tuyaux [joints, coudes, raccords, par exemple], en matières plastiques")</f>
        <v xml:space="preserve">   Accessoires pour tubes ou tuyaux [joints, coudes, raccords, par exemple], en matières plastiques</v>
      </c>
      <c r="C9535">
        <v>32342838</v>
      </c>
      <c r="D9535">
        <v>64815</v>
      </c>
    </row>
    <row r="9536" spans="1:4" x14ac:dyDescent="0.25">
      <c r="A9536" t="str">
        <f>T("   391890")</f>
        <v xml:space="preserve">   391890</v>
      </c>
      <c r="B9536" t="s">
        <v>129</v>
      </c>
      <c r="C9536">
        <v>2260000</v>
      </c>
      <c r="D9536">
        <v>14417</v>
      </c>
    </row>
    <row r="9537" spans="1:4" x14ac:dyDescent="0.25">
      <c r="A9537" t="str">
        <f>T("   392010")</f>
        <v xml:space="preserve">   392010</v>
      </c>
      <c r="B9537" t="s">
        <v>131</v>
      </c>
      <c r="C9537">
        <v>116367</v>
      </c>
      <c r="D9537">
        <v>120</v>
      </c>
    </row>
    <row r="9538" spans="1:4" x14ac:dyDescent="0.25">
      <c r="A9538" t="str">
        <f>T("   392020")</f>
        <v xml:space="preserve">   392020</v>
      </c>
      <c r="B9538" t="s">
        <v>132</v>
      </c>
      <c r="C9538">
        <v>60383775</v>
      </c>
      <c r="D9538">
        <v>28713</v>
      </c>
    </row>
    <row r="9539" spans="1:4" x14ac:dyDescent="0.25">
      <c r="A9539" t="str">
        <f>T("   392049")</f>
        <v xml:space="preserve">   392049</v>
      </c>
      <c r="B9539" t="s">
        <v>134</v>
      </c>
      <c r="C9539">
        <v>7895271</v>
      </c>
      <c r="D9539">
        <v>25690</v>
      </c>
    </row>
    <row r="9540" spans="1:4" x14ac:dyDescent="0.25">
      <c r="A9540" t="str">
        <f>T("   392062")</f>
        <v xml:space="preserve">   392062</v>
      </c>
      <c r="B9540" t="s">
        <v>136</v>
      </c>
      <c r="C9540">
        <v>6193454</v>
      </c>
      <c r="D9540">
        <v>19836</v>
      </c>
    </row>
    <row r="9541" spans="1:4" x14ac:dyDescent="0.25">
      <c r="A9541" t="str">
        <f>T("   392069")</f>
        <v xml:space="preserve">   392069</v>
      </c>
      <c r="B9541" t="s">
        <v>138</v>
      </c>
      <c r="C9541">
        <v>174544</v>
      </c>
      <c r="D9541">
        <v>450</v>
      </c>
    </row>
    <row r="9542" spans="1:4" x14ac:dyDescent="0.25">
      <c r="A9542" t="str">
        <f>T("   392210")</f>
        <v xml:space="preserve">   392210</v>
      </c>
      <c r="B9542" t="str">
        <f>T("   Baignoires, douches, éviers et lavabos, en matières plastiques")</f>
        <v xml:space="preserve">   Baignoires, douches, éviers et lavabos, en matières plastiques</v>
      </c>
      <c r="C9542">
        <v>64829</v>
      </c>
      <c r="D9542">
        <v>70</v>
      </c>
    </row>
    <row r="9543" spans="1:4" x14ac:dyDescent="0.25">
      <c r="A9543" t="str">
        <f>T("   392220")</f>
        <v xml:space="preserve">   392220</v>
      </c>
      <c r="B9543" t="str">
        <f>T("   Sièges et couvercles de cuvettes d'aisance, en matières plastiques")</f>
        <v xml:space="preserve">   Sièges et couvercles de cuvettes d'aisance, en matières plastiques</v>
      </c>
      <c r="C9543">
        <v>113321</v>
      </c>
      <c r="D9543">
        <v>723</v>
      </c>
    </row>
    <row r="9544" spans="1:4" x14ac:dyDescent="0.25">
      <c r="A9544" t="str">
        <f>T("   392290")</f>
        <v xml:space="preserve">   392290</v>
      </c>
      <c r="B9544" t="str">
        <f>T("   Bidets, cuvettes d'aisance, réservoirs de chasse et articles simil. pour usages sanitaires ou hygiéniques, en matières plastiques (à l'excl. des baignoires, des douches, d'éviers, des lavabos ainsi que des sièges et couvercles de cuvettes d'aisance)")</f>
        <v xml:space="preserve">   Bidets, cuvettes d'aisance, réservoirs de chasse et articles simil. pour usages sanitaires ou hygiéniques, en matières plastiques (à l'excl. des baignoires, des douches, d'éviers, des lavabos ainsi que des sièges et couvercles de cuvettes d'aisance)</v>
      </c>
      <c r="C9544">
        <v>10923</v>
      </c>
      <c r="D9544">
        <v>50</v>
      </c>
    </row>
    <row r="9545" spans="1:4" x14ac:dyDescent="0.25">
      <c r="A9545" t="str">
        <f>T("   392310")</f>
        <v xml:space="preserve">   392310</v>
      </c>
      <c r="B9545" t="str">
        <f>T("   Boîtes, caisses, casiers et articles simil. pour le transport ou l'emballage, en matières plastiques")</f>
        <v xml:space="preserve">   Boîtes, caisses, casiers et articles simil. pour le transport ou l'emballage, en matières plastiques</v>
      </c>
      <c r="C9545">
        <v>650893904</v>
      </c>
      <c r="D9545">
        <v>1026168</v>
      </c>
    </row>
    <row r="9546" spans="1:4" x14ac:dyDescent="0.25">
      <c r="A9546" t="str">
        <f>T("   392321")</f>
        <v xml:space="preserve">   392321</v>
      </c>
      <c r="B9546" t="str">
        <f>T("   Sacs, sachets, pochettes et cornets, en polymères de l'éthylène")</f>
        <v xml:space="preserve">   Sacs, sachets, pochettes et cornets, en polymères de l'éthylène</v>
      </c>
      <c r="C9546">
        <v>74637143</v>
      </c>
      <c r="D9546">
        <v>375240</v>
      </c>
    </row>
    <row r="9547" spans="1:4" x14ac:dyDescent="0.25">
      <c r="A9547" t="str">
        <f>T("   392329")</f>
        <v xml:space="preserve">   392329</v>
      </c>
      <c r="B9547" t="str">
        <f>T("   Sacs, sachets, pochettes et cornets, en matières plastiques (autres que les polymères de l'éthylène)")</f>
        <v xml:space="preserve">   Sacs, sachets, pochettes et cornets, en matières plastiques (autres que les polymères de l'éthylène)</v>
      </c>
      <c r="C9547">
        <v>1276125416</v>
      </c>
      <c r="D9547">
        <v>7190439.2000000002</v>
      </c>
    </row>
    <row r="9548" spans="1:4" x14ac:dyDescent="0.25">
      <c r="A9548" t="str">
        <f>T("   392330")</f>
        <v xml:space="preserve">   392330</v>
      </c>
      <c r="B9548" t="str">
        <f>T("   Bonbonnes, bouteilles, flacons et articles simil. pour le transport ou l'emballage, en matières plastiques")</f>
        <v xml:space="preserve">   Bonbonnes, bouteilles, flacons et articles simil. pour le transport ou l'emballage, en matières plastiques</v>
      </c>
      <c r="C9548">
        <v>140009188</v>
      </c>
      <c r="D9548">
        <v>91747</v>
      </c>
    </row>
    <row r="9549" spans="1:4" x14ac:dyDescent="0.25">
      <c r="A9549" t="str">
        <f>T("   392390")</f>
        <v xml:space="preserve">   392390</v>
      </c>
      <c r="B9549" t="s">
        <v>144</v>
      </c>
      <c r="C9549">
        <v>8975872</v>
      </c>
      <c r="D9549">
        <v>73660</v>
      </c>
    </row>
    <row r="9550" spans="1:4" x14ac:dyDescent="0.25">
      <c r="A9550" t="str">
        <f>T("   392410")</f>
        <v xml:space="preserve">   392410</v>
      </c>
      <c r="B9550" t="str">
        <f>T("   Vaisselle et autres articles pour le service de la table ou de la cuisine, en matières plastiques")</f>
        <v xml:space="preserve">   Vaisselle et autres articles pour le service de la table ou de la cuisine, en matières plastiques</v>
      </c>
      <c r="C9550">
        <v>30954065</v>
      </c>
      <c r="D9550">
        <v>85624</v>
      </c>
    </row>
    <row r="9551" spans="1:4" x14ac:dyDescent="0.25">
      <c r="A9551" t="str">
        <f>T("   392490")</f>
        <v xml:space="preserve">   392490</v>
      </c>
      <c r="B9551" t="s">
        <v>145</v>
      </c>
      <c r="C9551">
        <v>8802884</v>
      </c>
      <c r="D9551">
        <v>31039</v>
      </c>
    </row>
    <row r="9552" spans="1:4" x14ac:dyDescent="0.25">
      <c r="A9552" t="str">
        <f>T("   392510")</f>
        <v xml:space="preserve">   392510</v>
      </c>
      <c r="B9552" t="str">
        <f>T("   Réservoirs, foudres, cuves et récipients analogues, en matières plastiques, d'une contenance &gt; 300 l")</f>
        <v xml:space="preserve">   Réservoirs, foudres, cuves et récipients analogues, en matières plastiques, d'une contenance &gt; 300 l</v>
      </c>
      <c r="C9552">
        <v>4702103</v>
      </c>
      <c r="D9552">
        <v>5470</v>
      </c>
    </row>
    <row r="9553" spans="1:4" x14ac:dyDescent="0.25">
      <c r="A9553" t="str">
        <f>T("   392590")</f>
        <v xml:space="preserve">   392590</v>
      </c>
      <c r="B9553" t="s">
        <v>146</v>
      </c>
      <c r="C9553">
        <v>31299865</v>
      </c>
      <c r="D9553">
        <v>13153</v>
      </c>
    </row>
    <row r="9554" spans="1:4" x14ac:dyDescent="0.25">
      <c r="A9554" t="str">
        <f>T("   392610")</f>
        <v xml:space="preserve">   392610</v>
      </c>
      <c r="B9554" t="str">
        <f>T("   Articles de bureau et articles scolaires, en matières plastiques, n.d.a.")</f>
        <v xml:space="preserve">   Articles de bureau et articles scolaires, en matières plastiques, n.d.a.</v>
      </c>
      <c r="C9554">
        <v>3941925</v>
      </c>
      <c r="D9554">
        <v>46218</v>
      </c>
    </row>
    <row r="9555" spans="1:4" x14ac:dyDescent="0.25">
      <c r="A9555" t="str">
        <f>T("   392640")</f>
        <v xml:space="preserve">   392640</v>
      </c>
      <c r="B9555" t="str">
        <f>T("   Statuettes et autres objets d'ornementation, en matières plastiques")</f>
        <v xml:space="preserve">   Statuettes et autres objets d'ornementation, en matières plastiques</v>
      </c>
      <c r="C9555">
        <v>566964</v>
      </c>
      <c r="D9555">
        <v>5234</v>
      </c>
    </row>
    <row r="9556" spans="1:4" x14ac:dyDescent="0.25">
      <c r="A9556" t="str">
        <f>T("   392690")</f>
        <v xml:space="preserve">   392690</v>
      </c>
      <c r="B9556" t="str">
        <f>T("   Ouvrages en matières plastiques et ouvrages en autres matières du n° 3901 à 3914, n.d.a.")</f>
        <v xml:space="preserve">   Ouvrages en matières plastiques et ouvrages en autres matières du n° 3901 à 3914, n.d.a.</v>
      </c>
      <c r="C9556">
        <v>100658425</v>
      </c>
      <c r="D9556">
        <v>358396</v>
      </c>
    </row>
    <row r="9557" spans="1:4" x14ac:dyDescent="0.25">
      <c r="A9557" t="str">
        <f>T("   400591")</f>
        <v xml:space="preserve">   400591</v>
      </c>
      <c r="B9557" t="s">
        <v>149</v>
      </c>
      <c r="C9557">
        <v>35180</v>
      </c>
      <c r="D9557">
        <v>100</v>
      </c>
    </row>
    <row r="9558" spans="1:4" x14ac:dyDescent="0.25">
      <c r="A9558" t="str">
        <f>T("   400700")</f>
        <v xml:space="preserve">   400700</v>
      </c>
      <c r="B9558" t="s">
        <v>152</v>
      </c>
      <c r="C9558">
        <v>34909</v>
      </c>
      <c r="D9558">
        <v>70</v>
      </c>
    </row>
    <row r="9559" spans="1:4" x14ac:dyDescent="0.25">
      <c r="A9559" t="str">
        <f>T("   400821")</f>
        <v xml:space="preserve">   400821</v>
      </c>
      <c r="B9559" t="str">
        <f>T("   PLAQUES, FEUILLES ET BANDES, EN CAOUTCHOUC NON-ALVÉOLAIRE NON-DURCI")</f>
        <v xml:space="preserve">   PLAQUES, FEUILLES ET BANDES, EN CAOUTCHOUC NON-ALVÉOLAIRE NON-DURCI</v>
      </c>
      <c r="C9559">
        <v>116364</v>
      </c>
      <c r="D9559">
        <v>189</v>
      </c>
    </row>
    <row r="9560" spans="1:4" x14ac:dyDescent="0.25">
      <c r="A9560" t="str">
        <f>T("   401110")</f>
        <v xml:space="preserve">   401110</v>
      </c>
      <c r="B9560" t="str">
        <f>T("   Pneumatiques neufs, en caoutchouc, des types utilisés pour les voitures de tourisme, y.c. les voitures du type 'break' et les voitures de course")</f>
        <v xml:space="preserve">   Pneumatiques neufs, en caoutchouc, des types utilisés pour les voitures de tourisme, y.c. les voitures du type 'break' et les voitures de course</v>
      </c>
      <c r="C9560">
        <v>53972382</v>
      </c>
      <c r="D9560">
        <v>92020</v>
      </c>
    </row>
    <row r="9561" spans="1:4" x14ac:dyDescent="0.25">
      <c r="A9561" t="str">
        <f>T("   401120")</f>
        <v xml:space="preserve">   401120</v>
      </c>
      <c r="B9561" t="str">
        <f>T("   Pneumatiques neufs, en caoutchouc, des types utilisés pour les autobus ou les camions (à l'excl. des pneumatiques à crampons, à chevrons ou simil.)")</f>
        <v xml:space="preserve">   Pneumatiques neufs, en caoutchouc, des types utilisés pour les autobus ou les camions (à l'excl. des pneumatiques à crampons, à chevrons ou simil.)</v>
      </c>
      <c r="C9561">
        <v>128856727</v>
      </c>
      <c r="D9561">
        <v>198985</v>
      </c>
    </row>
    <row r="9562" spans="1:4" x14ac:dyDescent="0.25">
      <c r="A9562" t="str">
        <f>T("   401130")</f>
        <v xml:space="preserve">   401130</v>
      </c>
      <c r="B9562" t="str">
        <f>T("   Pneumatiques neufs, en caoutchouc, des types utilisés pour véhicules aériens")</f>
        <v xml:space="preserve">   Pneumatiques neufs, en caoutchouc, des types utilisés pour véhicules aériens</v>
      </c>
      <c r="C9562">
        <v>87272</v>
      </c>
      <c r="D9562">
        <v>466</v>
      </c>
    </row>
    <row r="9563" spans="1:4" x14ac:dyDescent="0.25">
      <c r="A9563" t="str">
        <f>T("   401140")</f>
        <v xml:space="preserve">   401140</v>
      </c>
      <c r="B9563" t="str">
        <f>T("   Pneumatiques neufs, en caoutchouc, des types utilisés pour les motocycles")</f>
        <v xml:space="preserve">   Pneumatiques neufs, en caoutchouc, des types utilisés pour les motocycles</v>
      </c>
      <c r="C9563">
        <v>25602857</v>
      </c>
      <c r="D9563">
        <v>67629</v>
      </c>
    </row>
    <row r="9564" spans="1:4" x14ac:dyDescent="0.25">
      <c r="A9564" t="str">
        <f>T("   401150")</f>
        <v xml:space="preserve">   401150</v>
      </c>
      <c r="B9564" t="str">
        <f>T("   Pneumatiques neufs, en caoutchouc, des types utilisés pour les bicyclettes")</f>
        <v xml:space="preserve">   Pneumatiques neufs, en caoutchouc, des types utilisés pour les bicyclettes</v>
      </c>
      <c r="C9564">
        <v>2932198</v>
      </c>
      <c r="D9564">
        <v>8020</v>
      </c>
    </row>
    <row r="9565" spans="1:4" x14ac:dyDescent="0.25">
      <c r="A9565" t="str">
        <f>T("   401194")</f>
        <v xml:space="preserve">   401194</v>
      </c>
      <c r="B9565" t="str">
        <f>T("   Pneumatiques neufs, en caoutchouc, des types utilisés pour les véhicules et engins de génie civil et de manutention industrielle, pour jantes d'un diamètre &gt; 61 cm (à l'excl. des pneumatiques à crampons, à chevrons ou simil.)")</f>
        <v xml:space="preserve">   Pneumatiques neufs, en caoutchouc, des types utilisés pour les véhicules et engins de génie civil et de manutention industrielle, pour jantes d'un diamètre &gt; 61 cm (à l'excl. des pneumatiques à crampons, à chevrons ou simil.)</v>
      </c>
      <c r="C9565">
        <v>40400000</v>
      </c>
      <c r="D9565">
        <v>10674</v>
      </c>
    </row>
    <row r="9566" spans="1:4" x14ac:dyDescent="0.25">
      <c r="A9566" t="str">
        <f>T("   401320")</f>
        <v xml:space="preserve">   401320</v>
      </c>
      <c r="B9566" t="str">
        <f>T("   Chambres à air, en caoutchouc, des types utilisés pour les bicyclettes")</f>
        <v xml:space="preserve">   Chambres à air, en caoutchouc, des types utilisés pour les bicyclettes</v>
      </c>
      <c r="C9566">
        <v>7321988</v>
      </c>
      <c r="D9566">
        <v>50647</v>
      </c>
    </row>
    <row r="9567" spans="1:4" x14ac:dyDescent="0.25">
      <c r="A9567" t="str">
        <f>T("   401390")</f>
        <v xml:space="preserve">   401390</v>
      </c>
      <c r="B9567" t="str">
        <f>T("   Chambres à air, en caoutchouc (à l'excl. des chambres à air des types utilisés pour les voitures de tourisme, les voitures du type 'break', les voitures de course, les autobus, les camions et les bicyclettes)")</f>
        <v xml:space="preserve">   Chambres à air, en caoutchouc (à l'excl. des chambres à air des types utilisés pour les voitures de tourisme, les voitures du type 'break', les voitures de course, les autobus, les camions et les bicyclettes)</v>
      </c>
      <c r="C9567">
        <v>18105079</v>
      </c>
      <c r="D9567">
        <v>96448</v>
      </c>
    </row>
    <row r="9568" spans="1:4" x14ac:dyDescent="0.25">
      <c r="A9568" t="str">
        <f>T("   401410")</f>
        <v xml:space="preserve">   401410</v>
      </c>
      <c r="B9568" t="str">
        <f>T("   Préservatifs en caoutchouc vulcanisé non durci")</f>
        <v xml:space="preserve">   Préservatifs en caoutchouc vulcanisé non durci</v>
      </c>
      <c r="C9568">
        <v>1987718</v>
      </c>
      <c r="D9568">
        <v>11210</v>
      </c>
    </row>
    <row r="9569" spans="1:4" x14ac:dyDescent="0.25">
      <c r="A9569" t="str">
        <f>T("   401511")</f>
        <v xml:space="preserve">   401511</v>
      </c>
      <c r="B9569" t="str">
        <f>T("   Gants en caoutchouc vulcanisé non durci, pour la chirurgie")</f>
        <v xml:space="preserve">   Gants en caoutchouc vulcanisé non durci, pour la chirurgie</v>
      </c>
      <c r="C9569">
        <v>12474000</v>
      </c>
      <c r="D9569">
        <v>83137</v>
      </c>
    </row>
    <row r="9570" spans="1:4" x14ac:dyDescent="0.25">
      <c r="A9570" t="str">
        <f>T("   401691")</f>
        <v xml:space="preserve">   401691</v>
      </c>
      <c r="B9570" t="s">
        <v>156</v>
      </c>
      <c r="C9570">
        <v>420064</v>
      </c>
      <c r="D9570">
        <v>850</v>
      </c>
    </row>
    <row r="9571" spans="1:4" x14ac:dyDescent="0.25">
      <c r="A9571" t="str">
        <f>T("   410210")</f>
        <v xml:space="preserve">   410210</v>
      </c>
      <c r="B9571" t="s">
        <v>158</v>
      </c>
      <c r="C9571">
        <v>25067</v>
      </c>
      <c r="D9571">
        <v>1200</v>
      </c>
    </row>
    <row r="9572" spans="1:4" x14ac:dyDescent="0.25">
      <c r="A9572" t="str">
        <f>T("   420211")</f>
        <v xml:space="preserve">   420211</v>
      </c>
      <c r="B9572" t="str">
        <f>T("   Malles, valises et mallettes, y.c. les mallettes de toilette et les mallettes porte-documents, serviettes, cartables et contenants simil., à surface extérieure en cuir naturel, en cuir reconstitué ou en cuir verni")</f>
        <v xml:space="preserve">   Malles, valises et mallettes, y.c. les mallettes de toilette et les mallettes porte-documents, serviettes, cartables et contenants simil., à surface extérieure en cuir naturel, en cuir reconstitué ou en cuir verni</v>
      </c>
      <c r="C9572">
        <v>452212</v>
      </c>
      <c r="D9572">
        <v>1285</v>
      </c>
    </row>
    <row r="9573" spans="1:4" x14ac:dyDescent="0.25">
      <c r="A9573" t="str">
        <f>T("   420212")</f>
        <v xml:space="preserve">   420212</v>
      </c>
      <c r="B9573" t="str">
        <f>T("   Malles, valises et mallettes, y.c. les mallettes de toilette et les mallettes porte-documents, serviettes, cartables et contenants simil., à surface extérieure en matières plastiques ou en matières textiles")</f>
        <v xml:space="preserve">   Malles, valises et mallettes, y.c. les mallettes de toilette et les mallettes porte-documents, serviettes, cartables et contenants simil., à surface extérieure en matières plastiques ou en matières textiles</v>
      </c>
      <c r="C9573">
        <v>1223378</v>
      </c>
      <c r="D9573">
        <v>5015</v>
      </c>
    </row>
    <row r="9574" spans="1:4" x14ac:dyDescent="0.25">
      <c r="A9574" t="str">
        <f>T("   420219")</f>
        <v xml:space="preserve">   420219</v>
      </c>
      <c r="B9574" t="s">
        <v>161</v>
      </c>
      <c r="C9574">
        <v>1293337</v>
      </c>
      <c r="D9574">
        <v>5415</v>
      </c>
    </row>
    <row r="9575" spans="1:4" x14ac:dyDescent="0.25">
      <c r="A9575" t="str">
        <f>T("   420221")</f>
        <v xml:space="preserve">   420221</v>
      </c>
      <c r="B9575" t="str">
        <f>T("   Sacs à main, même à bandoulière, y.c. ceux sans poignée, à surface extérieure en cuir naturel, en cuir reconstitué ou en cuir verni")</f>
        <v xml:space="preserve">   Sacs à main, même à bandoulière, y.c. ceux sans poignée, à surface extérieure en cuir naturel, en cuir reconstitué ou en cuir verni</v>
      </c>
      <c r="C9575">
        <v>349536</v>
      </c>
      <c r="D9575">
        <v>230</v>
      </c>
    </row>
    <row r="9576" spans="1:4" x14ac:dyDescent="0.25">
      <c r="A9576" t="str">
        <f>T("   420222")</f>
        <v xml:space="preserve">   420222</v>
      </c>
      <c r="B9576" t="str">
        <f>T("   Sacs à main, même à bandoulière, y.c. ceux sans poignée, à surface extérieure en feuilles de matières plastiques ou en matières textiles")</f>
        <v xml:space="preserve">   Sacs à main, même à bandoulière, y.c. ceux sans poignée, à surface extérieure en feuilles de matières plastiques ou en matières textiles</v>
      </c>
      <c r="C9576">
        <v>22996774</v>
      </c>
      <c r="D9576">
        <v>70207</v>
      </c>
    </row>
    <row r="9577" spans="1:4" x14ac:dyDescent="0.25">
      <c r="A9577" t="str">
        <f>T("   420229")</f>
        <v xml:space="preserve">   420229</v>
      </c>
      <c r="B9577" t="str">
        <f>T("   Sacs à main, même à bandoulière, y.c. ceux sans poignée, à surface extérieure en fibre vulcanisée ou en carton, ou recouverts, en totalité ou en majeure partie, de ces mêmes matières ou de papier")</f>
        <v xml:space="preserve">   Sacs à main, même à bandoulière, y.c. ceux sans poignée, à surface extérieure en fibre vulcanisée ou en carton, ou recouverts, en totalité ou en majeure partie, de ces mêmes matières ou de papier</v>
      </c>
      <c r="C9577">
        <v>24204410</v>
      </c>
      <c r="D9577">
        <v>146607</v>
      </c>
    </row>
    <row r="9578" spans="1:4" x14ac:dyDescent="0.25">
      <c r="A9578" t="str">
        <f>T("   420232")</f>
        <v xml:space="preserve">   420232</v>
      </c>
      <c r="B9578" t="str">
        <f>T("   Portefeuilles, porte-monnaie, étuis à clés ou à cigarettes, blagues à tabac et articles simil. de poche ou de sac à main, à surface extérieure en feuilles de matières plastiques ou en matières textiles")</f>
        <v xml:space="preserve">   Portefeuilles, porte-monnaie, étuis à clés ou à cigarettes, blagues à tabac et articles simil. de poche ou de sac à main, à surface extérieure en feuilles de matières plastiques ou en matières textiles</v>
      </c>
      <c r="C9578">
        <v>873839</v>
      </c>
      <c r="D9578">
        <v>2000</v>
      </c>
    </row>
    <row r="9579" spans="1:4" x14ac:dyDescent="0.25">
      <c r="A9579" t="str">
        <f>T("   420239")</f>
        <v xml:space="preserve">   420239</v>
      </c>
      <c r="B9579" t="s">
        <v>162</v>
      </c>
      <c r="C9579">
        <v>3100000</v>
      </c>
      <c r="D9579">
        <v>13485</v>
      </c>
    </row>
    <row r="9580" spans="1:4" x14ac:dyDescent="0.25">
      <c r="A9580" t="str">
        <f>T("   420291")</f>
        <v xml:space="preserve">   420291</v>
      </c>
      <c r="B9580" t="s">
        <v>163</v>
      </c>
      <c r="C9580">
        <v>2408398</v>
      </c>
      <c r="D9580">
        <v>21088</v>
      </c>
    </row>
    <row r="9581" spans="1:4" x14ac:dyDescent="0.25">
      <c r="A9581" t="str">
        <f>T("   420292")</f>
        <v xml:space="preserve">   420292</v>
      </c>
      <c r="B9581" t="s">
        <v>163</v>
      </c>
      <c r="C9581">
        <v>76106035</v>
      </c>
      <c r="D9581">
        <v>931518</v>
      </c>
    </row>
    <row r="9582" spans="1:4" x14ac:dyDescent="0.25">
      <c r="A9582" t="str">
        <f>T("   420299")</f>
        <v xml:space="preserve">   420299</v>
      </c>
      <c r="B9582" t="s">
        <v>164</v>
      </c>
      <c r="C9582">
        <v>22236243</v>
      </c>
      <c r="D9582">
        <v>108841</v>
      </c>
    </row>
    <row r="9583" spans="1:4" x14ac:dyDescent="0.25">
      <c r="A9583" t="str">
        <f>T("   440310")</f>
        <v xml:space="preserve">   440310</v>
      </c>
      <c r="B9583" t="s">
        <v>167</v>
      </c>
      <c r="C9583">
        <v>56630079</v>
      </c>
      <c r="D9583">
        <v>145924</v>
      </c>
    </row>
    <row r="9584" spans="1:4" x14ac:dyDescent="0.25">
      <c r="A9584" t="str">
        <f>T("   440890")</f>
        <v xml:space="preserve">   440890</v>
      </c>
      <c r="B9584" t="s">
        <v>170</v>
      </c>
      <c r="C9584">
        <v>61131699</v>
      </c>
      <c r="D9584">
        <v>234000</v>
      </c>
    </row>
    <row r="9585" spans="1:4" x14ac:dyDescent="0.25">
      <c r="A9585" t="str">
        <f>T("   441019")</f>
        <v xml:space="preserve">   441019</v>
      </c>
      <c r="B9585" t="str">
        <f>T("   PANNEAUX DITS 'WAFERBOARD' ET PANNEAUX SIMIL., EN BOIS, MÊME AGGLOMÉRÉS AVEC DES RÉSINES OU D'AUTRES LIANTS ORGANIQUES (SAUF BRUTS OU SIMPL. PONCÉS AINSI QUE DES PANNEAUX DITS 'ORIENTED STRAND BOARD', DES PANNEAUX DE FIBRES ET DES PANNEAUX CELLULAIRES)")</f>
        <v xml:space="preserve">   PANNEAUX DITS 'WAFERBOARD' ET PANNEAUX SIMIL., EN BOIS, MÊME AGGLOMÉRÉS AVEC DES RÉSINES OU D'AUTRES LIANTS ORGANIQUES (SAUF BRUTS OU SIMPL. PONCÉS AINSI QUE DES PANNEAUX DITS 'ORIENTED STRAND BOARD', DES PANNEAUX DE FIBRES ET DES PANNEAUX CELLULAIRES)</v>
      </c>
      <c r="C9585">
        <v>177122</v>
      </c>
      <c r="D9585">
        <v>9220</v>
      </c>
    </row>
    <row r="9586" spans="1:4" x14ac:dyDescent="0.25">
      <c r="A9586" t="str">
        <f>T("   441029")</f>
        <v xml:space="preserve">   441029</v>
      </c>
      <c r="B9586" t="str">
        <f>T("   Panneaux dits 'oriented strand board' et panneaux dits 'waferboard', en bois (sauf bruts ou simplement poncés)")</f>
        <v xml:space="preserve">   Panneaux dits 'oriented strand board' et panneaux dits 'waferboard', en bois (sauf bruts ou simplement poncés)</v>
      </c>
      <c r="C9586">
        <v>59040</v>
      </c>
      <c r="D9586">
        <v>200</v>
      </c>
    </row>
    <row r="9587" spans="1:4" x14ac:dyDescent="0.25">
      <c r="A9587" t="str">
        <f>T("   441211")</f>
        <v xml:space="preserve">   441211</v>
      </c>
      <c r="B9587" t="s">
        <v>175</v>
      </c>
      <c r="C9587">
        <v>32769</v>
      </c>
      <c r="D9587">
        <v>180</v>
      </c>
    </row>
    <row r="9588" spans="1:4" x14ac:dyDescent="0.25">
      <c r="A9588" t="str">
        <f>T("   441213")</f>
        <v xml:space="preserve">   441213</v>
      </c>
      <c r="B9588" t="s">
        <v>176</v>
      </c>
      <c r="C9588">
        <v>51953293</v>
      </c>
      <c r="D9588">
        <v>192820</v>
      </c>
    </row>
    <row r="9589" spans="1:4" x14ac:dyDescent="0.25">
      <c r="A9589" t="str">
        <f>T("   441219")</f>
        <v xml:space="preserve">   441219</v>
      </c>
      <c r="B9589" t="s">
        <v>177</v>
      </c>
      <c r="C9589">
        <v>21236970</v>
      </c>
      <c r="D9589">
        <v>93635</v>
      </c>
    </row>
    <row r="9590" spans="1:4" x14ac:dyDescent="0.25">
      <c r="A9590" t="str">
        <f>T("   441229")</f>
        <v xml:space="preserve">   441229</v>
      </c>
      <c r="B9590" t="s">
        <v>179</v>
      </c>
      <c r="C9590">
        <v>40455109</v>
      </c>
      <c r="D9590">
        <v>341425</v>
      </c>
    </row>
    <row r="9591" spans="1:4" x14ac:dyDescent="0.25">
      <c r="A9591" t="str">
        <f>T("   441400")</f>
        <v xml:space="preserve">   441400</v>
      </c>
      <c r="B9591" t="str">
        <f>T("   Cadres en bois pour tableaux, photographies, miroirs ou objets simil.")</f>
        <v xml:space="preserve">   Cadres en bois pour tableaux, photographies, miroirs ou objets simil.</v>
      </c>
      <c r="C9591">
        <v>1354244</v>
      </c>
      <c r="D9591">
        <v>2880</v>
      </c>
    </row>
    <row r="9592" spans="1:4" x14ac:dyDescent="0.25">
      <c r="A9592" t="str">
        <f>T("   441820")</f>
        <v xml:space="preserve">   441820</v>
      </c>
      <c r="B9592" t="str">
        <f>T("   Portes et leurs cadres, chambranles et seuils, en bois")</f>
        <v xml:space="preserve">   Portes et leurs cadres, chambranles et seuils, en bois</v>
      </c>
      <c r="C9592">
        <v>5109231</v>
      </c>
      <c r="D9592">
        <v>19640</v>
      </c>
    </row>
    <row r="9593" spans="1:4" x14ac:dyDescent="0.25">
      <c r="A9593" t="str">
        <f>T("   441840")</f>
        <v xml:space="preserve">   441840</v>
      </c>
      <c r="B9593" t="str">
        <f>T("   Coffrages pour le bétonnage, en bois (à l'excl. des panneaux en bois contre-plaqués)")</f>
        <v xml:space="preserve">   Coffrages pour le bétonnage, en bois (à l'excl. des panneaux en bois contre-plaqués)</v>
      </c>
      <c r="C9593">
        <v>506827</v>
      </c>
      <c r="D9593">
        <v>6500</v>
      </c>
    </row>
    <row r="9594" spans="1:4" x14ac:dyDescent="0.25">
      <c r="A9594" t="str">
        <f>T("   441900")</f>
        <v xml:space="preserve">   441900</v>
      </c>
      <c r="B9594" t="s">
        <v>183</v>
      </c>
      <c r="C9594">
        <v>218460</v>
      </c>
      <c r="D9594">
        <v>310</v>
      </c>
    </row>
    <row r="9595" spans="1:4" x14ac:dyDescent="0.25">
      <c r="A9595" t="str">
        <f>T("   442110")</f>
        <v xml:space="preserve">   442110</v>
      </c>
      <c r="B9595" t="str">
        <f>T("   Cintres pour vêtements, en bois")</f>
        <v xml:space="preserve">   Cintres pour vêtements, en bois</v>
      </c>
      <c r="C9595">
        <v>3732297</v>
      </c>
      <c r="D9595">
        <v>24190</v>
      </c>
    </row>
    <row r="9596" spans="1:4" x14ac:dyDescent="0.25">
      <c r="A9596" t="str">
        <f>T("   442190")</f>
        <v xml:space="preserve">   442190</v>
      </c>
      <c r="B9596" t="str">
        <f>T("   Ouvrages, en bois, n.d.a.")</f>
        <v xml:space="preserve">   Ouvrages, en bois, n.d.a.</v>
      </c>
      <c r="C9596">
        <v>1456269</v>
      </c>
      <c r="D9596">
        <v>5289</v>
      </c>
    </row>
    <row r="9597" spans="1:4" x14ac:dyDescent="0.25">
      <c r="A9597" t="str">
        <f>T("   460120")</f>
        <v xml:space="preserve">   460120</v>
      </c>
      <c r="B9597" t="str">
        <f>T("   Nattes, paillassons et claies en matières à tresser végétales, tissés ou parallélisés, à plat")</f>
        <v xml:space="preserve">   Nattes, paillassons et claies en matières à tresser végétales, tissés ou parallélisés, à plat</v>
      </c>
      <c r="C9597">
        <v>6000000</v>
      </c>
      <c r="D9597">
        <v>13820</v>
      </c>
    </row>
    <row r="9598" spans="1:4" x14ac:dyDescent="0.25">
      <c r="A9598" t="str">
        <f>T("   460199")</f>
        <v xml:space="preserve">   460199</v>
      </c>
      <c r="B9598" t="str">
        <f>T("   MATIÈRES À TRESSER, TRESSES ET ARTICLES SIMIL., EN MATIÈRES À TRESSER NON-VÉGÉTALES, TISSÉS OU PARALLÉLISÉS, À PLAT (À L'EXCL. DES REVÊTEMENTS MURAUX DU N° 4814 AINSI QUE DES PARTIES DE CHAUSSURES OU DE COIFFURES)")</f>
        <v xml:space="preserve">   MATIÈRES À TRESSER, TRESSES ET ARTICLES SIMIL., EN MATIÈRES À TRESSER NON-VÉGÉTALES, TISSÉS OU PARALLÉLISÉS, À PLAT (À L'EXCL. DES REVÊTEMENTS MURAUX DU N° 4814 AINSI QUE DES PARTIES DE CHAUSSURES OU DE COIFFURES)</v>
      </c>
      <c r="C9598">
        <v>8490153</v>
      </c>
      <c r="D9598">
        <v>29439</v>
      </c>
    </row>
    <row r="9599" spans="1:4" x14ac:dyDescent="0.25">
      <c r="A9599" t="str">
        <f>T("   460290")</f>
        <v xml:space="preserve">   460290</v>
      </c>
      <c r="B9599" t="s">
        <v>186</v>
      </c>
      <c r="C9599">
        <v>218460</v>
      </c>
      <c r="D9599">
        <v>60</v>
      </c>
    </row>
    <row r="9600" spans="1:4" x14ac:dyDescent="0.25">
      <c r="A9600" t="str">
        <f>T("   470790")</f>
        <v xml:space="preserve">   470790</v>
      </c>
      <c r="B9600" t="s">
        <v>187</v>
      </c>
      <c r="C9600">
        <v>7729184</v>
      </c>
      <c r="D9600">
        <v>81660</v>
      </c>
    </row>
    <row r="9601" spans="1:4" x14ac:dyDescent="0.25">
      <c r="A9601" t="str">
        <f>T("   480100")</f>
        <v xml:space="preserve">   480100</v>
      </c>
      <c r="B9601" t="str">
        <f>T("   Papier journal, en rouleaux d'une largeur &gt; 36 cm ou en feuilles de forme carrée ou rectangulaire dont au moins un coté &gt; 36 cm et l'autre &gt; 15 cm à l'état non plié")</f>
        <v xml:space="preserve">   Papier journal, en rouleaux d'une largeur &gt; 36 cm ou en feuilles de forme carrée ou rectangulaire dont au moins un coté &gt; 36 cm et l'autre &gt; 15 cm à l'état non plié</v>
      </c>
      <c r="C9601">
        <v>204778</v>
      </c>
      <c r="D9601">
        <v>2680</v>
      </c>
    </row>
    <row r="9602" spans="1:4" x14ac:dyDescent="0.25">
      <c r="A9602" t="str">
        <f>T("   480210")</f>
        <v xml:space="preserve">   480210</v>
      </c>
      <c r="B9602" t="str">
        <f>T("   Papiers et cartons formés feuille à feuille [papiers à la main], de tout format et de toute forme")</f>
        <v xml:space="preserve">   Papiers et cartons formés feuille à feuille [papiers à la main], de tout format et de toute forme</v>
      </c>
      <c r="C9602">
        <v>179051</v>
      </c>
      <c r="D9602">
        <v>840</v>
      </c>
    </row>
    <row r="9603" spans="1:4" x14ac:dyDescent="0.25">
      <c r="A9603" t="str">
        <f>T("   480256")</f>
        <v xml:space="preserve">   480256</v>
      </c>
      <c r="B9603" t="s">
        <v>190</v>
      </c>
      <c r="C9603">
        <v>3345000</v>
      </c>
      <c r="D9603">
        <v>62950</v>
      </c>
    </row>
    <row r="9604" spans="1:4" x14ac:dyDescent="0.25">
      <c r="A9604" t="str">
        <f>T("   480258")</f>
        <v xml:space="preserve">   480258</v>
      </c>
      <c r="B9604" t="s">
        <v>192</v>
      </c>
      <c r="C9604">
        <v>21600000</v>
      </c>
      <c r="D9604">
        <v>44800</v>
      </c>
    </row>
    <row r="9605" spans="1:4" x14ac:dyDescent="0.25">
      <c r="A9605" t="str">
        <f>T("   480300")</f>
        <v xml:space="preserve">   480300</v>
      </c>
      <c r="B9605" t="s">
        <v>194</v>
      </c>
      <c r="C9605">
        <v>5200000</v>
      </c>
      <c r="D9605">
        <v>11020</v>
      </c>
    </row>
    <row r="9606" spans="1:4" x14ac:dyDescent="0.25">
      <c r="A9606" t="str">
        <f>T("   480429")</f>
        <v xml:space="preserve">   480429</v>
      </c>
      <c r="B9606" t="str">
        <f>T("   PAPIERS KRAFT POUR SACS DE GRANDE CONTENANCE, NON-COUCHÉS NI ENDUITS, EN ROULEAUX D'UNE LARGEUR &gt; 36 CM (À L'EXCL. DES PAPIERS ÉCRUS AINSI QUE DES ARTICLES DU N° 4802, 4803 OU 4808)")</f>
        <v xml:space="preserve">   PAPIERS KRAFT POUR SACS DE GRANDE CONTENANCE, NON-COUCHÉS NI ENDUITS, EN ROULEAUX D'UNE LARGEUR &gt; 36 CM (À L'EXCL. DES PAPIERS ÉCRUS AINSI QUE DES ARTICLES DU N° 4802, 4803 OU 4808)</v>
      </c>
      <c r="C9606">
        <v>286482</v>
      </c>
      <c r="D9606">
        <v>2040</v>
      </c>
    </row>
    <row r="9607" spans="1:4" x14ac:dyDescent="0.25">
      <c r="A9607" t="str">
        <f>T("   480519")</f>
        <v xml:space="preserve">   480519</v>
      </c>
      <c r="B9607" t="s">
        <v>198</v>
      </c>
      <c r="C9607">
        <v>143241</v>
      </c>
      <c r="D9607">
        <v>1620</v>
      </c>
    </row>
    <row r="9608" spans="1:4" x14ac:dyDescent="0.25">
      <c r="A9608" t="str">
        <f>T("   480810")</f>
        <v xml:space="preserve">   480810</v>
      </c>
      <c r="B9608" t="str">
        <f>T("   Papiers et cartons ondulés, même avec recouvrement par collage, même perforés, en rouleaux d'une largeur &gt; 36 cm ou en feuilles de forme carrée ou rectangulaire dont au moins un coté &gt; 36 cm et l'autre &gt; 15 cm à l'état non plié")</f>
        <v xml:space="preserve">   Papiers et cartons ondulés, même avec recouvrement par collage, même perforés, en rouleaux d'une largeur &gt; 36 cm ou en feuilles de forme carrée ou rectangulaire dont au moins un coté &gt; 36 cm et l'autre &gt; 15 cm à l'état non plié</v>
      </c>
      <c r="C9608">
        <v>295203</v>
      </c>
      <c r="D9608">
        <v>5000</v>
      </c>
    </row>
    <row r="9609" spans="1:4" x14ac:dyDescent="0.25">
      <c r="A9609" t="str">
        <f>T("   480990")</f>
        <v xml:space="preserve">   480990</v>
      </c>
      <c r="B9609" t="s">
        <v>203</v>
      </c>
      <c r="C9609">
        <v>162361</v>
      </c>
      <c r="D9609">
        <v>893.46</v>
      </c>
    </row>
    <row r="9610" spans="1:4" x14ac:dyDescent="0.25">
      <c r="A9610" t="str">
        <f>T("   481029")</f>
        <v xml:space="preserve">   481029</v>
      </c>
      <c r="B9610" t="s">
        <v>205</v>
      </c>
      <c r="C9610">
        <v>103321</v>
      </c>
      <c r="D9610">
        <v>200</v>
      </c>
    </row>
    <row r="9611" spans="1:4" x14ac:dyDescent="0.25">
      <c r="A9611" t="str">
        <f>T("   481149")</f>
        <v xml:space="preserve">   481149</v>
      </c>
      <c r="B9611" t="str">
        <f>T("   Papiers et cartons gommés ou adhésifs, coloriés en surface, décorés en surface ou imprimés, en rouleaux ou en feuilles de forme carrée ou rectangulaire, de tout format (à l'excl. des papiers et cartons auto-adhésifs ainsi que des produits du n° 4810)")</f>
        <v xml:space="preserve">   Papiers et cartons gommés ou adhésifs, coloriés en surface, décorés en surface ou imprimés, en rouleaux ou en feuilles de forme carrée ou rectangulaire, de tout format (à l'excl. des papiers et cartons auto-adhésifs ainsi que des produits du n° 4810)</v>
      </c>
      <c r="C9611">
        <v>88560</v>
      </c>
      <c r="D9611">
        <v>190</v>
      </c>
    </row>
    <row r="9612" spans="1:4" x14ac:dyDescent="0.25">
      <c r="A9612" t="str">
        <f>T("   481710")</f>
        <v xml:space="preserve">   481710</v>
      </c>
      <c r="B9612" t="str">
        <f>T("   Enveloppes, en papier ou en carton")</f>
        <v xml:space="preserve">   Enveloppes, en papier ou en carton</v>
      </c>
      <c r="C9612">
        <v>114401</v>
      </c>
      <c r="D9612">
        <v>2643</v>
      </c>
    </row>
    <row r="9613" spans="1:4" x14ac:dyDescent="0.25">
      <c r="A9613" t="str">
        <f>T("   481810")</f>
        <v xml:space="preserve">   481810</v>
      </c>
      <c r="B9613" t="str">
        <f>T("   Papier hygiénique, en rouleaux d'une largeur &lt;= 36 cm")</f>
        <v xml:space="preserve">   Papier hygiénique, en rouleaux d'une largeur &lt;= 36 cm</v>
      </c>
      <c r="C9613">
        <v>21473720</v>
      </c>
      <c r="D9613">
        <v>77909</v>
      </c>
    </row>
    <row r="9614" spans="1:4" x14ac:dyDescent="0.25">
      <c r="A9614" t="str">
        <f>T("   481820")</f>
        <v xml:space="preserve">   481820</v>
      </c>
      <c r="B9614" t="str">
        <f>T("   Mouchoirs, serviettes à démaquiller et essuie-mains, en pâte à papier, papier, ouate de cellulose ou nappes de fibres de cellulose")</f>
        <v xml:space="preserve">   Mouchoirs, serviettes à démaquiller et essuie-mains, en pâte à papier, papier, ouate de cellulose ou nappes de fibres de cellulose</v>
      </c>
      <c r="C9614">
        <v>50193523</v>
      </c>
      <c r="D9614">
        <v>70354</v>
      </c>
    </row>
    <row r="9615" spans="1:4" x14ac:dyDescent="0.25">
      <c r="A9615" t="str">
        <f>T("   481830")</f>
        <v xml:space="preserve">   481830</v>
      </c>
      <c r="B9615" t="str">
        <f>T("   Nappes et serviettes de table, en pâte à papier, papier, ouate de cellulose ou nappes de fibres de cellulose")</f>
        <v xml:space="preserve">   Nappes et serviettes de table, en pâte à papier, papier, ouate de cellulose ou nappes de fibres de cellulose</v>
      </c>
      <c r="C9615">
        <v>559816</v>
      </c>
      <c r="D9615">
        <v>644</v>
      </c>
    </row>
    <row r="9616" spans="1:4" x14ac:dyDescent="0.25">
      <c r="A9616" t="str">
        <f>T("   481840")</f>
        <v xml:space="preserve">   481840</v>
      </c>
      <c r="B9616" t="str">
        <f>T("   Serviettes et tampons hygiéniques, couches pour bébés et articles hygiéniques simil., en pâte à papier, papier, ouate de cellulose ou nappes de fibres de cellulose")</f>
        <v xml:space="preserve">   Serviettes et tampons hygiéniques, couches pour bébés et articles hygiéniques simil., en pâte à papier, papier, ouate de cellulose ou nappes de fibres de cellulose</v>
      </c>
      <c r="C9616">
        <v>71165660</v>
      </c>
      <c r="D9616">
        <v>222805</v>
      </c>
    </row>
    <row r="9617" spans="1:4" x14ac:dyDescent="0.25">
      <c r="A9617" t="str">
        <f>T("   481890")</f>
        <v xml:space="preserve">   481890</v>
      </c>
      <c r="B9617" t="s">
        <v>215</v>
      </c>
      <c r="C9617">
        <v>952670</v>
      </c>
      <c r="D9617">
        <v>465</v>
      </c>
    </row>
    <row r="9618" spans="1:4" x14ac:dyDescent="0.25">
      <c r="A9618" t="str">
        <f>T("   481910")</f>
        <v xml:space="preserve">   481910</v>
      </c>
      <c r="B9618" t="str">
        <f>T("   Boîtes et caisses en papier ou en carton ondulé")</f>
        <v xml:space="preserve">   Boîtes et caisses en papier ou en carton ondulé</v>
      </c>
      <c r="C9618">
        <v>61594263</v>
      </c>
      <c r="D9618">
        <v>12670993</v>
      </c>
    </row>
    <row r="9619" spans="1:4" x14ac:dyDescent="0.25">
      <c r="A9619" t="str">
        <f>T("   481920")</f>
        <v xml:space="preserve">   481920</v>
      </c>
      <c r="B9619" t="str">
        <f>T("   Boîtes et cartonnages, pliants, en papier ou en carton non ondulé")</f>
        <v xml:space="preserve">   Boîtes et cartonnages, pliants, en papier ou en carton non ondulé</v>
      </c>
      <c r="C9619">
        <v>25580334</v>
      </c>
      <c r="D9619">
        <v>46408</v>
      </c>
    </row>
    <row r="9620" spans="1:4" x14ac:dyDescent="0.25">
      <c r="A9620" t="str">
        <f>T("   481950")</f>
        <v xml:space="preserve">   481950</v>
      </c>
      <c r="B9620" t="s">
        <v>216</v>
      </c>
      <c r="C9620">
        <v>218460</v>
      </c>
      <c r="D9620">
        <v>600</v>
      </c>
    </row>
    <row r="9621" spans="1:4" x14ac:dyDescent="0.25">
      <c r="A9621" t="str">
        <f>T("   481960")</f>
        <v xml:space="preserve">   481960</v>
      </c>
      <c r="B9621" t="str">
        <f>T("   Cartonnages de bureau, de magasin ou simil., rigides (à l'excl. des emballages)")</f>
        <v xml:space="preserve">   Cartonnages de bureau, de magasin ou simil., rigides (à l'excl. des emballages)</v>
      </c>
      <c r="C9621">
        <v>278629267</v>
      </c>
      <c r="D9621">
        <v>470713</v>
      </c>
    </row>
    <row r="9622" spans="1:4" x14ac:dyDescent="0.25">
      <c r="A9622" t="str">
        <f>T("   482020")</f>
        <v xml:space="preserve">   482020</v>
      </c>
      <c r="B9622" t="str">
        <f>T("   Cahiers pour l'écriture, en papier ou carton")</f>
        <v xml:space="preserve">   Cahiers pour l'écriture, en papier ou carton</v>
      </c>
      <c r="C9622">
        <v>54716250</v>
      </c>
      <c r="D9622">
        <v>484177</v>
      </c>
    </row>
    <row r="9623" spans="1:4" x14ac:dyDescent="0.25">
      <c r="A9623" t="str">
        <f>T("   482030")</f>
        <v xml:space="preserve">   482030</v>
      </c>
      <c r="B9623" t="str">
        <f>T("   Classeurs, reliures (autres que les couvertures pour livres), chemises et couvertures à dossiers, en papier ou en carton")</f>
        <v xml:space="preserve">   Classeurs, reliures (autres que les couvertures pour livres), chemises et couvertures à dossiers, en papier ou en carton</v>
      </c>
      <c r="C9623">
        <v>10182693</v>
      </c>
      <c r="D9623">
        <v>22983</v>
      </c>
    </row>
    <row r="9624" spans="1:4" x14ac:dyDescent="0.25">
      <c r="A9624" t="str">
        <f>T("   482040")</f>
        <v xml:space="preserve">   482040</v>
      </c>
      <c r="B9624" t="str">
        <f>T("   Liasses et carnets manifold, même comportant des feuilles de papier carbone, en papier ou carton")</f>
        <v xml:space="preserve">   Liasses et carnets manifold, même comportant des feuilles de papier carbone, en papier ou carton</v>
      </c>
      <c r="C9624">
        <v>1122984</v>
      </c>
      <c r="D9624">
        <v>1328</v>
      </c>
    </row>
    <row r="9625" spans="1:4" x14ac:dyDescent="0.25">
      <c r="A9625" t="str">
        <f>T("   482050")</f>
        <v xml:space="preserve">   482050</v>
      </c>
      <c r="B9625" t="str">
        <f>T("   Albums pour échantillonnages ou pour collections, en papier ou en carton")</f>
        <v xml:space="preserve">   Albums pour échantillonnages ou pour collections, en papier ou en carton</v>
      </c>
      <c r="C9625">
        <v>195778</v>
      </c>
      <c r="D9625">
        <v>1018</v>
      </c>
    </row>
    <row r="9626" spans="1:4" x14ac:dyDescent="0.25">
      <c r="A9626" t="str">
        <f>T("   482090")</f>
        <v xml:space="preserve">   482090</v>
      </c>
      <c r="B9626" t="s">
        <v>217</v>
      </c>
      <c r="C9626">
        <v>7675220</v>
      </c>
      <c r="D9626">
        <v>43553</v>
      </c>
    </row>
    <row r="9627" spans="1:4" x14ac:dyDescent="0.25">
      <c r="A9627" t="str">
        <f>T("   482110")</f>
        <v xml:space="preserve">   482110</v>
      </c>
      <c r="B9627" t="str">
        <f>T("   ÉTIQUETTES DE TOUS GENRES, EN PAPIER OU EN CARTON, IMPRIMÉES")</f>
        <v xml:space="preserve">   ÉTIQUETTES DE TOUS GENRES, EN PAPIER OU EN CARTON, IMPRIMÉES</v>
      </c>
      <c r="C9627">
        <v>3655779</v>
      </c>
      <c r="D9627">
        <v>85</v>
      </c>
    </row>
    <row r="9628" spans="1:4" x14ac:dyDescent="0.25">
      <c r="A9628" t="str">
        <f>T("   482190")</f>
        <v xml:space="preserve">   482190</v>
      </c>
      <c r="B9628" t="str">
        <f>T("   ÉTIQUETTES DE TOUS GENRES, EN PAPIER OU EN CARTON, NON-IMPRIMÉES")</f>
        <v xml:space="preserve">   ÉTIQUETTES DE TOUS GENRES, EN PAPIER OU EN CARTON, NON-IMPRIMÉES</v>
      </c>
      <c r="C9628">
        <v>147601</v>
      </c>
      <c r="D9628">
        <v>1950</v>
      </c>
    </row>
    <row r="9629" spans="1:4" x14ac:dyDescent="0.25">
      <c r="A9629" t="str">
        <f>T("   482210")</f>
        <v xml:space="preserve">   482210</v>
      </c>
      <c r="B9629" t="str">
        <f>T("   Tambours, bobines, fusettes, canettes et supports simil., en pâte à papier, papier ou carton, même perforés ou durcis, des types utilisés pour l'enroulement des fils textiles")</f>
        <v xml:space="preserve">   Tambours, bobines, fusettes, canettes et supports simil., en pâte à papier, papier ou carton, même perforés ou durcis, des types utilisés pour l'enroulement des fils textiles</v>
      </c>
      <c r="C9629">
        <v>10331</v>
      </c>
      <c r="D9629">
        <v>70</v>
      </c>
    </row>
    <row r="9630" spans="1:4" x14ac:dyDescent="0.25">
      <c r="A9630" t="str">
        <f>T("   482360")</f>
        <v xml:space="preserve">   482360</v>
      </c>
      <c r="B9630" t="str">
        <f>T("   Plateaux, plats, assiettes, tasses, gobelets et articles simil., en papier ou en carton")</f>
        <v xml:space="preserve">   Plateaux, plats, assiettes, tasses, gobelets et articles simil., en papier ou en carton</v>
      </c>
      <c r="C9630">
        <v>561440</v>
      </c>
      <c r="D9630">
        <v>7020</v>
      </c>
    </row>
    <row r="9631" spans="1:4" x14ac:dyDescent="0.25">
      <c r="A9631" t="str">
        <f>T("   482390")</f>
        <v xml:space="preserve">   482390</v>
      </c>
      <c r="B9631" t="s">
        <v>218</v>
      </c>
      <c r="C9631">
        <v>1000000</v>
      </c>
      <c r="D9631">
        <v>9603</v>
      </c>
    </row>
    <row r="9632" spans="1:4" x14ac:dyDescent="0.25">
      <c r="A9632" t="str">
        <f>T("   490110")</f>
        <v xml:space="preserve">   490110</v>
      </c>
      <c r="B9632" t="str">
        <f>T("   Livres, brochures et imprimés simil., en feuillets isolés, même pliés (à l'excl. des publications périodiques et des publications à usages principalement publicitaires)")</f>
        <v xml:space="preserve">   Livres, brochures et imprimés simil., en feuillets isolés, même pliés (à l'excl. des publications périodiques et des publications à usages principalement publicitaires)</v>
      </c>
      <c r="C9632">
        <v>60000</v>
      </c>
      <c r="D9632">
        <v>24</v>
      </c>
    </row>
    <row r="9633" spans="1:4" x14ac:dyDescent="0.25">
      <c r="A9633" t="str">
        <f>T("   490199")</f>
        <v xml:space="preserve">   490199</v>
      </c>
      <c r="B9633"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9633">
        <v>5957447</v>
      </c>
      <c r="D9633">
        <v>11402</v>
      </c>
    </row>
    <row r="9634" spans="1:4" x14ac:dyDescent="0.25">
      <c r="A9634" t="str">
        <f>T("   490700")</f>
        <v xml:space="preserve">   490700</v>
      </c>
      <c r="B9634" t="s">
        <v>220</v>
      </c>
      <c r="C9634">
        <v>13074950</v>
      </c>
      <c r="D9634">
        <v>5225</v>
      </c>
    </row>
    <row r="9635" spans="1:4" x14ac:dyDescent="0.25">
      <c r="A9635" t="str">
        <f>T("   490900")</f>
        <v xml:space="preserve">   490900</v>
      </c>
      <c r="B9635" t="str">
        <f>T("   Cartes postales imprimées ou illustrées; cartes imprimées comportant des voeux ou des messages personnels, même illustrées, avec ou sans enveloppes, garnitures ou applications")</f>
        <v xml:space="preserve">   Cartes postales imprimées ou illustrées; cartes imprimées comportant des voeux ou des messages personnels, même illustrées, avec ou sans enveloppes, garnitures ou applications</v>
      </c>
      <c r="C9635">
        <v>54615</v>
      </c>
      <c r="D9635">
        <v>160</v>
      </c>
    </row>
    <row r="9636" spans="1:4" x14ac:dyDescent="0.25">
      <c r="A9636" t="str">
        <f>T("   491000")</f>
        <v xml:space="preserve">   491000</v>
      </c>
      <c r="B9636" t="str">
        <f>T("   Calendriers de tous genres, imprimés, y.c. les blocs de calendriers à effeuiller")</f>
        <v xml:space="preserve">   Calendriers de tous genres, imprimés, y.c. les blocs de calendriers à effeuiller</v>
      </c>
      <c r="C9636">
        <v>2583803</v>
      </c>
      <c r="D9636">
        <v>3355</v>
      </c>
    </row>
    <row r="9637" spans="1:4" x14ac:dyDescent="0.25">
      <c r="A9637" t="str">
        <f>T("   491110")</f>
        <v xml:space="preserve">   491110</v>
      </c>
      <c r="B9637" t="str">
        <f>T("   Imprimés publicitaires, catalogues commerciaux et simil.")</f>
        <v xml:space="preserve">   Imprimés publicitaires, catalogues commerciaux et simil.</v>
      </c>
      <c r="C9637">
        <v>10000</v>
      </c>
      <c r="D9637">
        <v>5</v>
      </c>
    </row>
    <row r="9638" spans="1:4" x14ac:dyDescent="0.25">
      <c r="A9638" t="str">
        <f>T("   511300")</f>
        <v xml:space="preserve">   511300</v>
      </c>
      <c r="B9638" t="str">
        <f>T("   Tissus de poils grossiers ou de crin (à l'excl. des tissus pour usages techniques du n° 5911)")</f>
        <v xml:space="preserve">   Tissus de poils grossiers ou de crin (à l'excl. des tissus pour usages techniques du n° 5911)</v>
      </c>
      <c r="C9638">
        <v>3000000</v>
      </c>
      <c r="D9638">
        <v>5000</v>
      </c>
    </row>
    <row r="9639" spans="1:4" x14ac:dyDescent="0.25">
      <c r="A9639" t="str">
        <f>T("   520100")</f>
        <v xml:space="preserve">   520100</v>
      </c>
      <c r="B9639" t="str">
        <f>T("   COTON, NON-CARDÉ NI PEIGNÉ")</f>
        <v xml:space="preserve">   COTON, NON-CARDÉ NI PEIGNÉ</v>
      </c>
      <c r="C9639">
        <v>1350000</v>
      </c>
      <c r="D9639">
        <v>1300</v>
      </c>
    </row>
    <row r="9640" spans="1:4" x14ac:dyDescent="0.25">
      <c r="A9640" t="str">
        <f>T("   520299")</f>
        <v xml:space="preserve">   520299</v>
      </c>
      <c r="B9640" t="str">
        <f>T("   Déchets de coton (à l'excl. des déchets de fils et des effilochés)")</f>
        <v xml:space="preserve">   Déchets de coton (à l'excl. des déchets de fils et des effilochés)</v>
      </c>
      <c r="C9640">
        <v>600000</v>
      </c>
      <c r="D9640">
        <v>1950</v>
      </c>
    </row>
    <row r="9641" spans="1:4" x14ac:dyDescent="0.25">
      <c r="A9641" t="str">
        <f>T("   520300")</f>
        <v xml:space="preserve">   520300</v>
      </c>
      <c r="B9641" t="str">
        <f>T("   Coton, cardé ou peigné")</f>
        <v xml:space="preserve">   Coton, cardé ou peigné</v>
      </c>
      <c r="C9641">
        <v>4607612</v>
      </c>
      <c r="D9641">
        <v>11225</v>
      </c>
    </row>
    <row r="9642" spans="1:4" x14ac:dyDescent="0.25">
      <c r="A9642" t="str">
        <f>T("   520411")</f>
        <v xml:space="preserve">   520411</v>
      </c>
      <c r="B9642" t="str">
        <f>T("   Fils à coudre de coton, contenant &gt;= 85% en poids de coton, non conditionnés pour la vente au détail")</f>
        <v xml:space="preserve">   Fils à coudre de coton, contenant &gt;= 85% en poids de coton, non conditionnés pour la vente au détail</v>
      </c>
      <c r="C9642">
        <v>2885206</v>
      </c>
      <c r="D9642">
        <v>5763</v>
      </c>
    </row>
    <row r="9643" spans="1:4" x14ac:dyDescent="0.25">
      <c r="A9643" t="str">
        <f>T("   520419")</f>
        <v xml:space="preserve">   520419</v>
      </c>
      <c r="B9643" t="str">
        <f>T("   Fils à coudre de coton, contenant en prédominance, mais &lt; 85% en poids de coton, non conditionnés pour la vente au détail")</f>
        <v xml:space="preserve">   Fils à coudre de coton, contenant en prédominance, mais &lt; 85% en poids de coton, non conditionnés pour la vente au détail</v>
      </c>
      <c r="C9643">
        <v>5196830</v>
      </c>
      <c r="D9643">
        <v>14490</v>
      </c>
    </row>
    <row r="9644" spans="1:4" x14ac:dyDescent="0.25">
      <c r="A9644" t="str">
        <f>T("   520420")</f>
        <v xml:space="preserve">   520420</v>
      </c>
      <c r="B9644" t="str">
        <f>T("   Fils à coudre de coton, conditionnés pour la vente au détail")</f>
        <v xml:space="preserve">   Fils à coudre de coton, conditionnés pour la vente au détail</v>
      </c>
      <c r="C9644">
        <v>10287003</v>
      </c>
      <c r="D9644">
        <v>46386</v>
      </c>
    </row>
    <row r="9645" spans="1:4" x14ac:dyDescent="0.25">
      <c r="A9645" t="str">
        <f>T("   520611")</f>
        <v xml:space="preserve">   520611</v>
      </c>
      <c r="B9645" t="str">
        <f>T("   Fils simples de coton, en fibres non peignées, contenant en prédominance, mais &lt; 85% en poids de coton, titrant &gt;= 714,29 décitex [&lt;= 14 numéros métriques] (sauf les fils à coudre et les fils conditionnés pour la vente au détail)")</f>
        <v xml:space="preserve">   Fils simples de coton, en fibres non peignées, contenant en prédominance, mais &lt; 85% en poids de coton, titrant &gt;= 714,29 décitex [&lt;= 14 numéros métriques] (sauf les fils à coudre et les fils conditionnés pour la vente au détail)</v>
      </c>
      <c r="C9645">
        <v>147600</v>
      </c>
      <c r="D9645">
        <v>350</v>
      </c>
    </row>
    <row r="9646" spans="1:4" x14ac:dyDescent="0.25">
      <c r="A9646" t="str">
        <f>T("   520790")</f>
        <v xml:space="preserve">   520790</v>
      </c>
      <c r="B9646" t="str">
        <f>T("   Fils de coton, contenant en prédominance, mais &lt; 85% en poids de coton, conditionnés pour la vente au détail (sauf les fils à coudre)")</f>
        <v xml:space="preserve">   Fils de coton, contenant en prédominance, mais &lt; 85% en poids de coton, conditionnés pour la vente au détail (sauf les fils à coudre)</v>
      </c>
      <c r="C9646">
        <v>6553796</v>
      </c>
      <c r="D9646">
        <v>16820</v>
      </c>
    </row>
    <row r="9647" spans="1:4" x14ac:dyDescent="0.25">
      <c r="A9647" t="str">
        <f>T("   520829")</f>
        <v xml:space="preserve">   520829</v>
      </c>
      <c r="B9647" t="str">
        <f>T("   Tissus de coton, blanchis, contenant &gt;= 85% en poids de coton, d'un poids &lt;= 200 g/m² (à l'excl. des tissus à armure toile ou à armure sergé [y.c. le croisé] d'un rapport d'armure &lt;= 4)")</f>
        <v xml:space="preserve">   Tissus de coton, blanchis, contenant &gt;= 85% en poids de coton, d'un poids &lt;= 200 g/m² (à l'excl. des tissus à armure toile ou à armure sergé [y.c. le croisé] d'un rapport d'armure &lt;= 4)</v>
      </c>
      <c r="C9647">
        <v>82397290</v>
      </c>
      <c r="D9647">
        <v>126820</v>
      </c>
    </row>
    <row r="9648" spans="1:4" x14ac:dyDescent="0.25">
      <c r="A9648" t="str">
        <f>T("   520839")</f>
        <v xml:space="preserve">   520839</v>
      </c>
      <c r="B9648" t="str">
        <f>T("   Tissus de coton, teints, contenant &gt;= 85% en poids de coton, d'un poids &lt;= 200 g/m² (à l'excl. des tissus à armure toile ou à armure sergé [y.c. le croisé] d'un rapport d'armure &lt;= 4)")</f>
        <v xml:space="preserve">   Tissus de coton, teints, contenant &gt;= 85% en poids de coton, d'un poids &lt;= 200 g/m² (à l'excl. des tissus à armure toile ou à armure sergé [y.c. le croisé] d'un rapport d'armure &lt;= 4)</v>
      </c>
      <c r="C9648">
        <v>34892126</v>
      </c>
      <c r="D9648">
        <v>77084</v>
      </c>
    </row>
    <row r="9649" spans="1:4" x14ac:dyDescent="0.25">
      <c r="A9649" t="str">
        <f>T("   520841")</f>
        <v xml:space="preserve">   520841</v>
      </c>
      <c r="B9649" t="str">
        <f>T("   Tissus de coton, en fils de diverses couleurs, à armure toile, contenant &gt;= 85% en poids de coton, d'un poids &lt;= 100 g/m²")</f>
        <v xml:space="preserve">   Tissus de coton, en fils de diverses couleurs, à armure toile, contenant &gt;= 85% en poids de coton, d'un poids &lt;= 100 g/m²</v>
      </c>
      <c r="C9649">
        <v>26000000</v>
      </c>
      <c r="D9649">
        <v>38480</v>
      </c>
    </row>
    <row r="9650" spans="1:4" x14ac:dyDescent="0.25">
      <c r="A9650" t="str">
        <f>T("   520852")</f>
        <v xml:space="preserve">   520852</v>
      </c>
      <c r="B9650" t="str">
        <f>T("   Tissus de coton, imprimés, à armure toile, contenant &gt;= 85% en poids de coton, d'un poids &gt; 100 g/m² mais &lt;= 200 g/m²")</f>
        <v xml:space="preserve">   Tissus de coton, imprimés, à armure toile, contenant &gt;= 85% en poids de coton, d'un poids &gt; 100 g/m² mais &lt;= 200 g/m²</v>
      </c>
      <c r="C9650">
        <v>1440019958</v>
      </c>
      <c r="D9650">
        <v>1255760</v>
      </c>
    </row>
    <row r="9651" spans="1:4" x14ac:dyDescent="0.25">
      <c r="A9651" t="str">
        <f>T("   520859")</f>
        <v xml:space="preserve">   520859</v>
      </c>
      <c r="B9651" t="str">
        <f>T("   TISSUS DE COTON, IMPRIMÉS, CONTENANT &gt;= 85% EN POIDS DE COTON, D'UN POIDS &lt;= 200 G/M² (À L'EXCL. DES TISSUS À ARMURE TOILE)")</f>
        <v xml:space="preserve">   TISSUS DE COTON, IMPRIMÉS, CONTENANT &gt;= 85% EN POIDS DE COTON, D'UN POIDS &lt;= 200 G/M² (À L'EXCL. DES TISSUS À ARMURE TOILE)</v>
      </c>
      <c r="C9651">
        <v>95572431</v>
      </c>
      <c r="D9651">
        <v>162080</v>
      </c>
    </row>
    <row r="9652" spans="1:4" x14ac:dyDescent="0.25">
      <c r="A9652" t="str">
        <f>T("   520929")</f>
        <v xml:space="preserve">   520929</v>
      </c>
      <c r="B9652" t="str">
        <f>T("   Tissus de coton, blanchis, contenant &gt;= 85% en poids de coton, d'un poids &gt; 200 g/m² (à l'excl. des tissus à armure toile ou à armure sergé [y.c. le croisé] d'un rapport d'armure &lt;= 4)")</f>
        <v xml:space="preserve">   Tissus de coton, blanchis, contenant &gt;= 85% en poids de coton, d'un poids &gt; 200 g/m² (à l'excl. des tissus à armure toile ou à armure sergé [y.c. le croisé] d'un rapport d'armure &lt;= 4)</v>
      </c>
      <c r="C9652">
        <v>113776898</v>
      </c>
      <c r="D9652">
        <v>277582</v>
      </c>
    </row>
    <row r="9653" spans="1:4" x14ac:dyDescent="0.25">
      <c r="A9653" t="str">
        <f>T("   520951")</f>
        <v xml:space="preserve">   520951</v>
      </c>
      <c r="B9653" t="str">
        <f>T("   Tissus de coton, imprimés, à armure toile, contenant &gt;= 85% en poids de coton, d'un poids &gt; 200 g/m²")</f>
        <v xml:space="preserve">   Tissus de coton, imprimés, à armure toile, contenant &gt;= 85% en poids de coton, d'un poids &gt; 200 g/m²</v>
      </c>
      <c r="C9653">
        <v>78485006</v>
      </c>
      <c r="D9653">
        <v>78295</v>
      </c>
    </row>
    <row r="9654" spans="1:4" x14ac:dyDescent="0.25">
      <c r="A9654" t="str">
        <f>T("   520959")</f>
        <v xml:space="preserve">   520959</v>
      </c>
      <c r="B9654" t="str">
        <f>T("   Tissus de coton, imprimés, contenant &gt;= 85% en poids de coton, d'un poids &gt; 200 g/m² (à l'excl. des tissus à armure toile ou à armure sergé [y.c. le croisé] d'un rapport d'armure &lt;= 4)")</f>
        <v xml:space="preserve">   Tissus de coton, imprimés, contenant &gt;= 85% en poids de coton, d'un poids &gt; 200 g/m² (à l'excl. des tissus à armure toile ou à armure sergé [y.c. le croisé] d'un rapport d'armure &lt;= 4)</v>
      </c>
      <c r="C9654">
        <v>109230</v>
      </c>
      <c r="D9654">
        <v>150</v>
      </c>
    </row>
    <row r="9655" spans="1:4" x14ac:dyDescent="0.25">
      <c r="A9655" t="str">
        <f>T("   521051")</f>
        <v xml:space="preserve">   521051</v>
      </c>
      <c r="B9655" t="str">
        <f>T("   Tissus de coton, imprimés, à armure toile, contenant en prédominance, mais &lt; 85% en poids de coton, mélangés principalement ou uniquement avec des fibres synthétiques ou artificielles, d'un poids &lt;= 200 g/m²")</f>
        <v xml:space="preserve">   Tissus de coton, imprimés, à armure toile, contenant en prédominance, mais &lt; 85% en poids de coton, mélangés principalement ou uniquement avec des fibres synthétiques ou artificielles, d'un poids &lt;= 200 g/m²</v>
      </c>
      <c r="C9655">
        <v>5000000</v>
      </c>
      <c r="D9655">
        <v>8000</v>
      </c>
    </row>
    <row r="9656" spans="1:4" x14ac:dyDescent="0.25">
      <c r="A9656" t="str">
        <f>T("   521059")</f>
        <v xml:space="preserve">   521059</v>
      </c>
      <c r="B9656" t="s">
        <v>223</v>
      </c>
      <c r="C9656">
        <v>32769</v>
      </c>
      <c r="D9656">
        <v>80</v>
      </c>
    </row>
    <row r="9657" spans="1:4" x14ac:dyDescent="0.25">
      <c r="A9657" t="str">
        <f>T("   521151")</f>
        <v xml:space="preserve">   521151</v>
      </c>
      <c r="B9657" t="str">
        <f>T("   Tissus de coton, imprimés, à armure toile, contenant en prédominance, mais &lt; 85% en poids de coton, mélangés principalement ou uniquement avec des fibres synthétiques ou artificielles, d'un poids &gt; 200 g/m²")</f>
        <v xml:space="preserve">   Tissus de coton, imprimés, à armure toile, contenant en prédominance, mais &lt; 85% en poids de coton, mélangés principalement ou uniquement avec des fibres synthétiques ou artificielles, d'un poids &gt; 200 g/m²</v>
      </c>
      <c r="C9657">
        <v>56294700</v>
      </c>
      <c r="D9657">
        <v>53730</v>
      </c>
    </row>
    <row r="9658" spans="1:4" x14ac:dyDescent="0.25">
      <c r="A9658" t="str">
        <f>T("   521159")</f>
        <v xml:space="preserve">   521159</v>
      </c>
      <c r="B9658" t="s">
        <v>225</v>
      </c>
      <c r="C9658">
        <v>44069926</v>
      </c>
      <c r="D9658">
        <v>89758</v>
      </c>
    </row>
    <row r="9659" spans="1:4" x14ac:dyDescent="0.25">
      <c r="A9659" t="str">
        <f>T("   521211")</f>
        <v xml:space="preserve">   521211</v>
      </c>
      <c r="B9659" t="str">
        <f>T("   Tissus de coton, écrus, contenant en prédominance, mais &lt; 85% en poids de coton, autres que mélangés principalement ou uniquement avec des fibres synthétiques ou artificielles, d'un poids &lt;= 200 g/m²")</f>
        <v xml:space="preserve">   Tissus de coton, écrus, contenant en prédominance, mais &lt; 85% en poids de coton, autres que mélangés principalement ou uniquement avec des fibres synthétiques ou artificielles, d'un poids &lt;= 200 g/m²</v>
      </c>
      <c r="C9659">
        <v>3306266</v>
      </c>
      <c r="D9659">
        <v>9065</v>
      </c>
    </row>
    <row r="9660" spans="1:4" x14ac:dyDescent="0.25">
      <c r="A9660" t="str">
        <f>T("   521213")</f>
        <v xml:space="preserve">   521213</v>
      </c>
      <c r="B9660" t="str">
        <f>T("   Tissus de coton, teints, contenant en prédominance, mais &lt; 85% en poids de coton, autres que mélangés principalement ou uniquement avec des fibres synthétiques ou artificielles, d'un poids &lt;= 200 g/m²")</f>
        <v xml:space="preserve">   Tissus de coton, teints, contenant en prédominance, mais &lt; 85% en poids de coton, autres que mélangés principalement ou uniquement avec des fibres synthétiques ou artificielles, d'un poids &lt;= 200 g/m²</v>
      </c>
      <c r="C9660">
        <v>1056146</v>
      </c>
      <c r="D9660">
        <v>85</v>
      </c>
    </row>
    <row r="9661" spans="1:4" x14ac:dyDescent="0.25">
      <c r="A9661" t="str">
        <f>T("   521214")</f>
        <v xml:space="preserve">   521214</v>
      </c>
      <c r="B9661" t="str">
        <f>T("   Tissus de coton, en fils de diverses couleurs, contenant en prédominance, mais &lt; 85% en poids de coton, autres que mélangés principalement ou uniquement avec des fibres synthétiques ou artificielles, d'un poids &lt;= 200 g/m²")</f>
        <v xml:space="preserve">   Tissus de coton, en fils de diverses couleurs, contenant en prédominance, mais &lt; 85% en poids de coton, autres que mélangés principalement ou uniquement avec des fibres synthétiques ou artificielles, d'un poids &lt;= 200 g/m²</v>
      </c>
      <c r="C9661">
        <v>812671</v>
      </c>
      <c r="D9661">
        <v>2380</v>
      </c>
    </row>
    <row r="9662" spans="1:4" x14ac:dyDescent="0.25">
      <c r="A9662" t="str">
        <f>T("   521215")</f>
        <v xml:space="preserve">   521215</v>
      </c>
      <c r="B9662" t="str">
        <f>T("   Tissus de coton, imprimés, contenant en prédominance, mais &lt; 85% en poids de coton, autres que mélangés principalement ou uniquement avec des fibres synthétiques ou artificielles, d'un poids &lt;= 200 g/m²")</f>
        <v xml:space="preserve">   Tissus de coton, imprimés, contenant en prédominance, mais &lt; 85% en poids de coton, autres que mélangés principalement ou uniquement avec des fibres synthétiques ou artificielles, d'un poids &lt;= 200 g/m²</v>
      </c>
      <c r="C9662">
        <v>2900000</v>
      </c>
      <c r="D9662">
        <v>7228</v>
      </c>
    </row>
    <row r="9663" spans="1:4" x14ac:dyDescent="0.25">
      <c r="A9663" t="str">
        <f>T("   530591")</f>
        <v xml:space="preserve">   530591</v>
      </c>
      <c r="B9663" t="str">
        <f>T("   FIBRES DE RAMIE ET AUTRES FIBRES TEXTILES VÉGÉTALES, N.D.A., BRUTES")</f>
        <v xml:space="preserve">   FIBRES DE RAMIE ET AUTRES FIBRES TEXTILES VÉGÉTALES, N.D.A., BRUTES</v>
      </c>
      <c r="C9663">
        <v>716207</v>
      </c>
      <c r="D9663">
        <v>1200</v>
      </c>
    </row>
    <row r="9664" spans="1:4" x14ac:dyDescent="0.25">
      <c r="A9664" t="str">
        <f>T("   530890")</f>
        <v xml:space="preserve">   530890</v>
      </c>
      <c r="B9664" t="str">
        <f>T("   Fils de fibres textiles végétales (à l'excl. des fils de coton, de lin, de coco, de chanvre, de jute ou d'autres fibres textiles libériennes du n° 5303)")</f>
        <v xml:space="preserve">   Fils de fibres textiles végétales (à l'excl. des fils de coton, de lin, de coco, de chanvre, de jute ou d'autres fibres textiles libériennes du n° 5303)</v>
      </c>
      <c r="C9664">
        <v>2947457</v>
      </c>
      <c r="D9664">
        <v>4100</v>
      </c>
    </row>
    <row r="9665" spans="1:4" x14ac:dyDescent="0.25">
      <c r="A9665" t="str">
        <f>T("   530919")</f>
        <v xml:space="preserve">   530919</v>
      </c>
      <c r="B9665" t="str">
        <f>T("   Tissus de lin, contenant &gt;= 85% en poids de lin, teints ou en fils de diverses couleurs ou imprimés")</f>
        <v xml:space="preserve">   Tissus de lin, contenant &gt;= 85% en poids de lin, teints ou en fils de diverses couleurs ou imprimés</v>
      </c>
      <c r="C9665">
        <v>3067185</v>
      </c>
      <c r="D9665">
        <v>3420</v>
      </c>
    </row>
    <row r="9666" spans="1:4" x14ac:dyDescent="0.25">
      <c r="A9666" t="str">
        <f>T("   540110")</f>
        <v xml:space="preserve">   540110</v>
      </c>
      <c r="B9666" t="str">
        <f>T("   Fils à coudre de filaments synthétiques, même conditionnés pour la vente au détail")</f>
        <v xml:space="preserve">   Fils à coudre de filaments synthétiques, même conditionnés pour la vente au détail</v>
      </c>
      <c r="C9666">
        <v>1310441</v>
      </c>
      <c r="D9666">
        <v>4945</v>
      </c>
    </row>
    <row r="9667" spans="1:4" x14ac:dyDescent="0.25">
      <c r="A9667" t="str">
        <f>T("   540120")</f>
        <v xml:space="preserve">   540120</v>
      </c>
      <c r="B9667" t="str">
        <f>T("   Fils à coudre de filaments artificiels, même conditionnés pour la vente au détail")</f>
        <v xml:space="preserve">   Fils à coudre de filaments artificiels, même conditionnés pour la vente au détail</v>
      </c>
      <c r="C9667">
        <v>2236597</v>
      </c>
      <c r="D9667">
        <v>11674</v>
      </c>
    </row>
    <row r="9668" spans="1:4" x14ac:dyDescent="0.25">
      <c r="A9668" t="str">
        <f>T("   540769")</f>
        <v xml:space="preserve">   540769</v>
      </c>
      <c r="B9668" t="str">
        <f>T("   TISSUS OBTENUS À PARTIR DE FILS CONTENANT &gt;= 85% EN POIDS DE MÉLANGES DE FILAMENTS DE POLYESTER TEXTURÉS ET DE FILAMENTS DE POLYESTER NON-TEXTURÉS, Y.C. LES TISSUS OBTENUS À PARTIR DES MONOFILAMENTS DU N° 5404")</f>
        <v xml:space="preserve">   TISSUS OBTENUS À PARTIR DE FILS CONTENANT &gt;= 85% EN POIDS DE MÉLANGES DE FILAMENTS DE POLYESTER TEXTURÉS ET DE FILAMENTS DE POLYESTER NON-TEXTURÉS, Y.C. LES TISSUS OBTENUS À PARTIR DES MONOFILAMENTS DU N° 5404</v>
      </c>
      <c r="C9668">
        <v>1180648</v>
      </c>
      <c r="D9668">
        <v>4756</v>
      </c>
    </row>
    <row r="9669" spans="1:4" x14ac:dyDescent="0.25">
      <c r="A9669" t="str">
        <f>T("   540810")</f>
        <v xml:space="preserve">   540810</v>
      </c>
      <c r="B9669" t="str">
        <f>T("   Tissus obtenus à partir de fils à haute ténacité de rayonne viscose, y.c. les tissus obtenus à partir des monofilaments du n° 5405")</f>
        <v xml:space="preserve">   Tissus obtenus à partir de fils à haute ténacité de rayonne viscose, y.c. les tissus obtenus à partir des monofilaments du n° 5405</v>
      </c>
      <c r="C9669">
        <v>500000</v>
      </c>
      <c r="D9669">
        <v>950</v>
      </c>
    </row>
    <row r="9670" spans="1:4" x14ac:dyDescent="0.25">
      <c r="A9670" t="str">
        <f>T("   540822")</f>
        <v xml:space="preserve">   540822</v>
      </c>
      <c r="B9670" t="str">
        <f>T("   Tissus teints, obtenus à partir de fils contenant &gt;= 85% en poids de filaments artificiels, y.c. les tissus obtenus à partir des monofilaments du n° 5405 (à l'excl. des tissus obtenus à partir de fils à haute ténacité de rayonne viscose)")</f>
        <v xml:space="preserve">   Tissus teints, obtenus à partir de fils contenant &gt;= 85% en poids de filaments artificiels, y.c. les tissus obtenus à partir des monofilaments du n° 5405 (à l'excl. des tissus obtenus à partir de fils à haute ténacité de rayonne viscose)</v>
      </c>
      <c r="C9670">
        <v>21846</v>
      </c>
      <c r="D9670">
        <v>8</v>
      </c>
    </row>
    <row r="9671" spans="1:4" x14ac:dyDescent="0.25">
      <c r="A9671" t="str">
        <f>T("   540824")</f>
        <v xml:space="preserve">   540824</v>
      </c>
      <c r="B9671" t="str">
        <f>T("   Tissus imprimés, obtenus à partir de fils contenant &gt;= 85% en poids de filaments artificiels, y.c. les tissus obtenus à partir des monofilaments du n° 5405 (à l'excl. des tissus obtenus à partir de fils à haute ténacité de rayonne viscose)")</f>
        <v xml:space="preserve">   Tissus imprimés, obtenus à partir de fils contenant &gt;= 85% en poids de filaments artificiels, y.c. les tissus obtenus à partir des monofilaments du n° 5405 (à l'excl. des tissus obtenus à partir de fils à haute ténacité de rayonne viscose)</v>
      </c>
      <c r="C9671">
        <v>1000000</v>
      </c>
      <c r="D9671">
        <v>900</v>
      </c>
    </row>
    <row r="9672" spans="1:4" x14ac:dyDescent="0.25">
      <c r="A9672" t="str">
        <f>T("   551219")</f>
        <v xml:space="preserve">   551219</v>
      </c>
      <c r="B9672" t="str">
        <f>T("   Tissus, teints, imprimés ou en fils de diverses couleurs, de fibres discontinues de polyester, contenant &gt;= 85% en poids de ces fibres")</f>
        <v xml:space="preserve">   Tissus, teints, imprimés ou en fils de diverses couleurs, de fibres discontinues de polyester, contenant &gt;= 85% en poids de ces fibres</v>
      </c>
      <c r="C9672">
        <v>338012914</v>
      </c>
      <c r="D9672">
        <v>531267</v>
      </c>
    </row>
    <row r="9673" spans="1:4" x14ac:dyDescent="0.25">
      <c r="A9673" t="str">
        <f>T("   551299")</f>
        <v xml:space="preserve">   551299</v>
      </c>
      <c r="B9673" t="str">
        <f>T("   Tissus, teints, imprimés ou en fils de diverses couleurs, de fibres synthétiques discontinues, contenant &gt;= 85% en poids de ces fibres (à l'excl. des tissus de fibres discontinues acryliques ou modacryliques ou de fibres discontinues de polyester)")</f>
        <v xml:space="preserve">   Tissus, teints, imprimés ou en fils de diverses couleurs, de fibres synthétiques discontinues, contenant &gt;= 85% en poids de ces fibres (à l'excl. des tissus de fibres discontinues acryliques ou modacryliques ou de fibres discontinues de polyester)</v>
      </c>
      <c r="C9673">
        <v>26000000</v>
      </c>
      <c r="D9673">
        <v>49320</v>
      </c>
    </row>
    <row r="9674" spans="1:4" x14ac:dyDescent="0.25">
      <c r="A9674" t="str">
        <f>T("   551313")</f>
        <v xml:space="preserve">   551313</v>
      </c>
      <c r="B9674" t="s">
        <v>230</v>
      </c>
      <c r="C9674">
        <v>504315756</v>
      </c>
      <c r="D9674">
        <v>1109970</v>
      </c>
    </row>
    <row r="9675" spans="1:4" x14ac:dyDescent="0.25">
      <c r="A9675" t="str">
        <f>T("   551319")</f>
        <v xml:space="preserve">   551319</v>
      </c>
      <c r="B9675" t="s">
        <v>231</v>
      </c>
      <c r="C9675">
        <v>56604500</v>
      </c>
      <c r="D9675">
        <v>69640</v>
      </c>
    </row>
    <row r="9676" spans="1:4" x14ac:dyDescent="0.25">
      <c r="A9676" t="str">
        <f>T("   551329")</f>
        <v xml:space="preserve">   551329</v>
      </c>
      <c r="B9676" t="str">
        <f>T("   Tissus, teints, de fibres synthétiques discontinues, contenant en prédominance, mais &lt; 85% en poids de ces fibres, mélangés principalement ou uniquement avec du coton, d'un poids &lt;= 170 g/m² (à l'excl. des tissus de fibres discontinues de polyester)")</f>
        <v xml:space="preserve">   Tissus, teints, de fibres synthétiques discontinues, contenant en prédominance, mais &lt; 85% en poids de ces fibres, mélangés principalement ou uniquement avec du coton, d'un poids &lt;= 170 g/m² (à l'excl. des tissus de fibres discontinues de polyester)</v>
      </c>
      <c r="C9676">
        <v>50368950</v>
      </c>
      <c r="D9676">
        <v>29444</v>
      </c>
    </row>
    <row r="9677" spans="1:4" x14ac:dyDescent="0.25">
      <c r="A9677" t="str">
        <f>T("   551349")</f>
        <v xml:space="preserve">   551349</v>
      </c>
      <c r="B9677" t="str">
        <f>T("   Tissus, imprimés, de fibres synthétiques discontinues, contenant en prédominance, mais &lt; 85% en poids de ces fibres, mélangés principalement ou uniquement avec du coton, d'un poids &lt;= 170 g/m² (à l'excl. des tissus de fibres discontinues de polyester)")</f>
        <v xml:space="preserve">   Tissus, imprimés, de fibres synthétiques discontinues, contenant en prédominance, mais &lt; 85% en poids de ces fibres, mélangés principalement ou uniquement avec du coton, d'un poids &lt;= 170 g/m² (à l'excl. des tissus de fibres discontinues de polyester)</v>
      </c>
      <c r="C9677">
        <v>143281905</v>
      </c>
      <c r="D9677">
        <v>476950</v>
      </c>
    </row>
    <row r="9678" spans="1:4" x14ac:dyDescent="0.25">
      <c r="A9678" t="str">
        <f>T("   551519")</f>
        <v xml:space="preserve">   551519</v>
      </c>
      <c r="B9678" t="s">
        <v>236</v>
      </c>
      <c r="C9678">
        <v>9655380</v>
      </c>
      <c r="D9678">
        <v>14700</v>
      </c>
    </row>
    <row r="9679" spans="1:4" x14ac:dyDescent="0.25">
      <c r="A9679" t="str">
        <f>T("   551529")</f>
        <v xml:space="preserve">   551529</v>
      </c>
      <c r="B9679" t="s">
        <v>237</v>
      </c>
      <c r="C9679">
        <v>15057500</v>
      </c>
      <c r="D9679">
        <v>30090</v>
      </c>
    </row>
    <row r="9680" spans="1:4" x14ac:dyDescent="0.25">
      <c r="A9680" t="str">
        <f>T("   551591")</f>
        <v xml:space="preserve">   551591</v>
      </c>
      <c r="B9680" t="s">
        <v>238</v>
      </c>
      <c r="C9680">
        <v>9000000</v>
      </c>
      <c r="D9680">
        <v>12870</v>
      </c>
    </row>
    <row r="9681" spans="1:4" x14ac:dyDescent="0.25">
      <c r="A9681" t="str">
        <f>T("   551592")</f>
        <v xml:space="preserve">   551592</v>
      </c>
      <c r="B9681" t="s">
        <v>239</v>
      </c>
      <c r="C9681">
        <v>474058</v>
      </c>
      <c r="D9681">
        <v>458</v>
      </c>
    </row>
    <row r="9682" spans="1:4" x14ac:dyDescent="0.25">
      <c r="A9682" t="str">
        <f>T("   551599")</f>
        <v xml:space="preserve">   551599</v>
      </c>
      <c r="B9682" t="s">
        <v>240</v>
      </c>
      <c r="C9682">
        <v>590306</v>
      </c>
      <c r="D9682">
        <v>665</v>
      </c>
    </row>
    <row r="9683" spans="1:4" x14ac:dyDescent="0.25">
      <c r="A9683" t="str">
        <f>T("   560110")</f>
        <v xml:space="preserve">   560110</v>
      </c>
      <c r="B9683" t="str">
        <f>T("   Serviettes et tampons hygiéniques, couches pour bébés et articles hygiéniques simil., en ouates")</f>
        <v xml:space="preserve">   Serviettes et tampons hygiéniques, couches pour bébés et articles hygiéniques simil., en ouates</v>
      </c>
      <c r="C9683">
        <v>5901559</v>
      </c>
      <c r="D9683">
        <v>17920</v>
      </c>
    </row>
    <row r="9684" spans="1:4" x14ac:dyDescent="0.25">
      <c r="A9684" t="str">
        <f>T("   560121")</f>
        <v xml:space="preserve">   560121</v>
      </c>
      <c r="B9684" t="s">
        <v>241</v>
      </c>
      <c r="C9684">
        <v>1336018</v>
      </c>
      <c r="D9684">
        <v>9750</v>
      </c>
    </row>
    <row r="9685" spans="1:4" x14ac:dyDescent="0.25">
      <c r="A9685" t="str">
        <f>T("   560420")</f>
        <v xml:space="preserve">   560420</v>
      </c>
      <c r="B9685" t="str">
        <f>T("   Fils à haute ténacité de polyesters, de nylon ou d'autres polyamides ou de rayonne viscose, imprégnés ou enduits de caoutchouc ou de matière plastique")</f>
        <v xml:space="preserve">   Fils à haute ténacité de polyesters, de nylon ou d'autres polyamides ou de rayonne viscose, imprégnés ou enduits de caoutchouc ou de matière plastique</v>
      </c>
      <c r="C9685">
        <v>44280</v>
      </c>
      <c r="D9685">
        <v>75</v>
      </c>
    </row>
    <row r="9686" spans="1:4" x14ac:dyDescent="0.25">
      <c r="A9686" t="str">
        <f>T("   560790")</f>
        <v xml:space="preserve">   560790</v>
      </c>
      <c r="B9686" t="str">
        <f>T("   FICELLES, CORDES ET CORDAGES, TRESSÉS OU NON, MÊME IMPRÉGNÉS, ENDUITS, RECOUVERTS OU GAINÉS DE CAOUTCHOUC OU DE MATIÈRE PLASTIQUE (À L'EXCL. DES PRODUITS DE FIBRES SYNTHÉTIQUES AINSI QUE DE SISAL OU D'AUTRES FIBRES TEXTILES DU GENRE 'AGAVE')")</f>
        <v xml:space="preserve">   FICELLES, CORDES ET CORDAGES, TRESSÉS OU NON, MÊME IMPRÉGNÉS, ENDUITS, RECOUVERTS OU GAINÉS DE CAOUTCHOUC OU DE MATIÈRE PLASTIQUE (À L'EXCL. DES PRODUITS DE FIBRES SYNTHÉTIQUES AINSI QUE DE SISAL OU D'AUTRES FIBRES TEXTILES DU GENRE 'AGAVE')</v>
      </c>
      <c r="C9686">
        <v>3498152</v>
      </c>
      <c r="D9686">
        <v>10945</v>
      </c>
    </row>
    <row r="9687" spans="1:4" x14ac:dyDescent="0.25">
      <c r="A9687" t="str">
        <f>T("   560811")</f>
        <v xml:space="preserve">   560811</v>
      </c>
      <c r="B9687" t="str">
        <f>T("   Filets confectionnés pour la pêche, à mailles nouées, en matières textiles synthétiques ou artificielles (à l'excl. des épuisettes)")</f>
        <v xml:space="preserve">   Filets confectionnés pour la pêche, à mailles nouées, en matières textiles synthétiques ou artificielles (à l'excl. des épuisettes)</v>
      </c>
      <c r="C9687">
        <v>23126018</v>
      </c>
      <c r="D9687">
        <v>110760</v>
      </c>
    </row>
    <row r="9688" spans="1:4" x14ac:dyDescent="0.25">
      <c r="A9688" t="str">
        <f>T("   560819")</f>
        <v xml:space="preserve">   560819</v>
      </c>
      <c r="B9688" t="s">
        <v>244</v>
      </c>
      <c r="C9688">
        <v>2718460</v>
      </c>
      <c r="D9688">
        <v>34260</v>
      </c>
    </row>
    <row r="9689" spans="1:4" x14ac:dyDescent="0.25">
      <c r="A9689" t="str">
        <f>T("   560890")</f>
        <v xml:space="preserve">   560890</v>
      </c>
      <c r="B9689" t="s">
        <v>245</v>
      </c>
      <c r="C9689">
        <v>143240</v>
      </c>
      <c r="D9689">
        <v>300</v>
      </c>
    </row>
    <row r="9690" spans="1:4" x14ac:dyDescent="0.25">
      <c r="A9690" t="str">
        <f>T("   560900")</f>
        <v xml:space="preserve">   560900</v>
      </c>
      <c r="B9690" t="str">
        <f>T("   Articles en fils, lames ou formes simil. du n° 5404 ou 5405, ficelles, cordes ou cordages du n° 5607, n.d.a.")</f>
        <v xml:space="preserve">   Articles en fils, lames ou formes simil. du n° 5404 ou 5405, ficelles, cordes ou cordages du n° 5607, n.d.a.</v>
      </c>
      <c r="C9690">
        <v>7908935</v>
      </c>
      <c r="D9690">
        <v>16429</v>
      </c>
    </row>
    <row r="9691" spans="1:4" x14ac:dyDescent="0.25">
      <c r="A9691" t="str">
        <f>T("   570190")</f>
        <v xml:space="preserve">   570190</v>
      </c>
      <c r="B9691" t="str">
        <f>T("   Tapis en matières textiles, à points noués ou enroulés, même confectionnés (à l'excl. des tapis de laine ou de poils fins)")</f>
        <v xml:space="preserve">   Tapis en matières textiles, à points noués ou enroulés, même confectionnés (à l'excl. des tapis de laine ou de poils fins)</v>
      </c>
      <c r="C9691">
        <v>709994</v>
      </c>
      <c r="D9691">
        <v>1620</v>
      </c>
    </row>
    <row r="9692" spans="1:4" x14ac:dyDescent="0.25">
      <c r="A9692" t="str">
        <f>T("   570249")</f>
        <v xml:space="preserve">   570249</v>
      </c>
      <c r="B9692" t="s">
        <v>247</v>
      </c>
      <c r="C9692">
        <v>218460</v>
      </c>
      <c r="D9692">
        <v>800</v>
      </c>
    </row>
    <row r="9693" spans="1:4" x14ac:dyDescent="0.25">
      <c r="A9693" t="str">
        <f>T("   570299")</f>
        <v xml:space="preserve">   570299</v>
      </c>
      <c r="B9693" t="s">
        <v>248</v>
      </c>
      <c r="C9693">
        <v>131076</v>
      </c>
      <c r="D9693">
        <v>560</v>
      </c>
    </row>
    <row r="9694" spans="1:4" x14ac:dyDescent="0.25">
      <c r="A9694" t="str">
        <f>T("   570500")</f>
        <v xml:space="preserve">   570500</v>
      </c>
      <c r="B9694" t="str">
        <f>T("   Tapis et autres revêtements de sol en matières textiles, même confectionnés (à l'excl. à points noués ou enroulés, tissés, touffetés ou en feutre)")</f>
        <v xml:space="preserve">   Tapis et autres revêtements de sol en matières textiles, même confectionnés (à l'excl. à points noués ou enroulés, tissés, touffetés ou en feutre)</v>
      </c>
      <c r="C9694">
        <v>1572912</v>
      </c>
      <c r="D9694">
        <v>3850</v>
      </c>
    </row>
    <row r="9695" spans="1:4" x14ac:dyDescent="0.25">
      <c r="A9695" t="str">
        <f>T("   580110")</f>
        <v xml:space="preserve">   580110</v>
      </c>
      <c r="B9695" t="str">
        <f>T("   Velours et peluches tissés et tissus de chenille, de laine ou de poils fins (à l'excl. des tissus bouclés du genre éponge, des surfaces textiles touffetées ainsi que des articles de rubanerie du n° 5806)")</f>
        <v xml:space="preserve">   Velours et peluches tissés et tissus de chenille, de laine ou de poils fins (à l'excl. des tissus bouclés du genre éponge, des surfaces textiles touffetées ainsi que des articles de rubanerie du n° 5806)</v>
      </c>
      <c r="C9695">
        <v>200000</v>
      </c>
      <c r="D9695">
        <v>1600</v>
      </c>
    </row>
    <row r="9696" spans="1:4" x14ac:dyDescent="0.25">
      <c r="A9696" t="str">
        <f>T("   580429")</f>
        <v xml:space="preserve">   580429</v>
      </c>
      <c r="B9696" t="str">
        <f>T("   Dentelles à la mécanique, en pièces, en bandes ou en motifs (à l'excl. des articles de fibres synthétiques ou artificielles ainsi que des produits du n° 6002 à 6006)")</f>
        <v xml:space="preserve">   Dentelles à la mécanique, en pièces, en bandes ou en motifs (à l'excl. des articles de fibres synthétiques ou artificielles ainsi que des produits du n° 6002 à 6006)</v>
      </c>
      <c r="C9696">
        <v>8024304</v>
      </c>
      <c r="D9696">
        <v>12810</v>
      </c>
    </row>
    <row r="9697" spans="1:4" x14ac:dyDescent="0.25">
      <c r="A9697" t="str">
        <f>T("   580639")</f>
        <v xml:space="preserve">   580639</v>
      </c>
      <c r="B9697" t="str">
        <f>T("   Rubanerie, tissée, en matières textiles, n.d.a. (à l'excl. des articles de coton ou de fibres synthétiques ou artificielles)")</f>
        <v xml:space="preserve">   Rubanerie, tissée, en matières textiles, n.d.a. (à l'excl. des articles de coton ou de fibres synthétiques ou artificielles)</v>
      </c>
      <c r="C9697">
        <v>1179714</v>
      </c>
      <c r="D9697">
        <v>6395</v>
      </c>
    </row>
    <row r="9698" spans="1:4" x14ac:dyDescent="0.25">
      <c r="A9698" t="str">
        <f>T("   580640")</f>
        <v xml:space="preserve">   580640</v>
      </c>
      <c r="B9698" t="str">
        <f>T("   Rubans sans trame, en fils ou fibres parallélisés et encollés [bolducs]")</f>
        <v xml:space="preserve">   Rubans sans trame, en fils ou fibres parallélisés et encollés [bolducs]</v>
      </c>
      <c r="C9698">
        <v>400000</v>
      </c>
      <c r="D9698">
        <v>1200</v>
      </c>
    </row>
    <row r="9699" spans="1:4" x14ac:dyDescent="0.25">
      <c r="A9699" t="str">
        <f>T("   580890")</f>
        <v xml:space="preserve">   580890</v>
      </c>
      <c r="B9699" t="s">
        <v>250</v>
      </c>
      <c r="C9699">
        <v>800000</v>
      </c>
      <c r="D9699">
        <v>13530</v>
      </c>
    </row>
    <row r="9700" spans="1:4" x14ac:dyDescent="0.25">
      <c r="A9700" t="str">
        <f>T("   581091")</f>
        <v xml:space="preserve">   581091</v>
      </c>
      <c r="B9700" t="str">
        <f>T("   Broderies de coton, sur support de matières textiles, en pièces, en bandes ou en motifs (à l'excl. des broderies chimiques ou aériennes ainsi que des broderies à fond découpé)")</f>
        <v xml:space="preserve">   Broderies de coton, sur support de matières textiles, en pièces, en bandes ou en motifs (à l'excl. des broderies chimiques ou aériennes ainsi que des broderies à fond découpé)</v>
      </c>
      <c r="C9700">
        <v>104411235</v>
      </c>
      <c r="D9700">
        <v>104220</v>
      </c>
    </row>
    <row r="9701" spans="1:4" x14ac:dyDescent="0.25">
      <c r="A9701" t="str">
        <f>T("   581092")</f>
        <v xml:space="preserve">   581092</v>
      </c>
      <c r="B9701" t="str">
        <f>T("   Broderies de fibres synthétiques ou artificielles, sur support de matières textiles, en pièces, en bandes ou en motifs (à l'excl. des broderies chimiques ou aériennes ainsi que des broderies à fond découpé)")</f>
        <v xml:space="preserve">   Broderies de fibres synthétiques ou artificielles, sur support de matières textiles, en pièces, en bandes ou en motifs (à l'excl. des broderies chimiques ou aériennes ainsi que des broderies à fond découpé)</v>
      </c>
      <c r="C9701">
        <v>1638449</v>
      </c>
      <c r="D9701">
        <v>8220</v>
      </c>
    </row>
    <row r="9702" spans="1:4" x14ac:dyDescent="0.25">
      <c r="A9702" t="str">
        <f>T("   581099")</f>
        <v xml:space="preserve">   581099</v>
      </c>
      <c r="B9702" t="str">
        <f>T("   Broderies de matières textiles, sur support de matières textiles, en pièces, en bandes ou en motifs (à l'excl. des broderies en coton ou en fibres synthétiques ou artificielles, des broderies chimiques ou aériennes et des broderies à fond découpé)")</f>
        <v xml:space="preserve">   Broderies de matières textiles, sur support de matières textiles, en pièces, en bandes ou en motifs (à l'excl. des broderies en coton ou en fibres synthétiques ou artificielles, des broderies chimiques ou aériennes et des broderies à fond découpé)</v>
      </c>
      <c r="C9702">
        <v>439695106</v>
      </c>
      <c r="D9702">
        <v>719575</v>
      </c>
    </row>
    <row r="9703" spans="1:4" x14ac:dyDescent="0.25">
      <c r="A9703" t="str">
        <f>T("   590390")</f>
        <v xml:space="preserve">   590390</v>
      </c>
      <c r="B9703" t="s">
        <v>253</v>
      </c>
      <c r="C9703">
        <v>60000000</v>
      </c>
      <c r="D9703">
        <v>69860</v>
      </c>
    </row>
    <row r="9704" spans="1:4" x14ac:dyDescent="0.25">
      <c r="A9704" t="str">
        <f>T("   600192")</f>
        <v xml:space="preserve">   600192</v>
      </c>
      <c r="B9704" t="str">
        <f>T("   VELOURS ET PELUCHES, EN BONNETERIE, DE FIBRES SYNTHÉTIQUES OU ARTIFICIELLES (À L'EXCL. DES ÉTOFFES DITES 'À LONGS POILS')")</f>
        <v xml:space="preserve">   VELOURS ET PELUCHES, EN BONNETERIE, DE FIBRES SYNTHÉTIQUES OU ARTIFICIELLES (À L'EXCL. DES ÉTOFFES DITES 'À LONGS POILS')</v>
      </c>
      <c r="C9704">
        <v>400000</v>
      </c>
      <c r="D9704">
        <v>950</v>
      </c>
    </row>
    <row r="9705" spans="1:4" x14ac:dyDescent="0.25">
      <c r="A9705" t="str">
        <f>T("   610190")</f>
        <v xml:space="preserve">   610190</v>
      </c>
      <c r="B9705" t="s">
        <v>260</v>
      </c>
      <c r="C9705">
        <v>131076</v>
      </c>
      <c r="D9705">
        <v>1190</v>
      </c>
    </row>
    <row r="9706" spans="1:4" x14ac:dyDescent="0.25">
      <c r="A9706" t="str">
        <f>T("   610590")</f>
        <v xml:space="preserve">   610590</v>
      </c>
      <c r="B9706" t="str">
        <f>T("   Chemises et chemisettes, en bonneterie, de matières textiles, pour hommes ou garçonnets (sauf de coton, fibres synthétiques ou artificielles et sauf chemises de nuit, T-shirts et maillots de corps)")</f>
        <v xml:space="preserve">   Chemises et chemisettes, en bonneterie, de matières textiles, pour hommes ou garçonnets (sauf de coton, fibres synthétiques ou artificielles et sauf chemises de nuit, T-shirts et maillots de corps)</v>
      </c>
      <c r="C9706">
        <v>32769</v>
      </c>
      <c r="D9706">
        <v>40</v>
      </c>
    </row>
    <row r="9707" spans="1:4" x14ac:dyDescent="0.25">
      <c r="A9707" t="str">
        <f>T("   610711")</f>
        <v xml:space="preserve">   610711</v>
      </c>
      <c r="B9707" t="str">
        <f>T("   SLIPS ET CALETHONS, EN BONNETERIE, DE COTON, POUR HOMMES OU GARÇONNETS")</f>
        <v xml:space="preserve">   SLIPS ET CALETHONS, EN BONNETERIE, DE COTON, POUR HOMMES OU GARÇONNETS</v>
      </c>
      <c r="C9707">
        <v>21846</v>
      </c>
      <c r="D9707">
        <v>75</v>
      </c>
    </row>
    <row r="9708" spans="1:4" x14ac:dyDescent="0.25">
      <c r="A9708" t="str">
        <f>T("   610829")</f>
        <v xml:space="preserve">   610829</v>
      </c>
      <c r="B9708" t="str">
        <f>T("   Slips et culottes, en bonneterie, de matières textiles, pour femmes ou fillettes (sauf de coton ou fibres synthétiques ou artificielles)")</f>
        <v xml:space="preserve">   Slips et culottes, en bonneterie, de matières textiles, pour femmes ou fillettes (sauf de coton ou fibres synthétiques ou artificielles)</v>
      </c>
      <c r="C9708">
        <v>1961770</v>
      </c>
      <c r="D9708">
        <v>2670</v>
      </c>
    </row>
    <row r="9709" spans="1:4" x14ac:dyDescent="0.25">
      <c r="A9709" t="str">
        <f>T("   610899")</f>
        <v xml:space="preserve">   610899</v>
      </c>
      <c r="B9709" t="s">
        <v>262</v>
      </c>
      <c r="C9709">
        <v>655380</v>
      </c>
      <c r="D9709">
        <v>1200</v>
      </c>
    </row>
    <row r="9710" spans="1:4" x14ac:dyDescent="0.25">
      <c r="A9710" t="str">
        <f>T("   610910")</f>
        <v xml:space="preserve">   610910</v>
      </c>
      <c r="B9710" t="str">
        <f>T("   T-shirts et maillots de corps, en bonneterie, de coton,")</f>
        <v xml:space="preserve">   T-shirts et maillots de corps, en bonneterie, de coton,</v>
      </c>
      <c r="C9710">
        <v>66551596</v>
      </c>
      <c r="D9710">
        <v>179210</v>
      </c>
    </row>
    <row r="9711" spans="1:4" x14ac:dyDescent="0.25">
      <c r="A9711" t="str">
        <f>T("   610990")</f>
        <v xml:space="preserve">   610990</v>
      </c>
      <c r="B9711" t="str">
        <f>T("   T-shirts et maillots de corps, en bonneterie, de matières textiles (sauf de coton)")</f>
        <v xml:space="preserve">   T-shirts et maillots de corps, en bonneterie, de matières textiles (sauf de coton)</v>
      </c>
      <c r="C9711">
        <v>530809014</v>
      </c>
      <c r="D9711">
        <v>2674269</v>
      </c>
    </row>
    <row r="9712" spans="1:4" x14ac:dyDescent="0.25">
      <c r="A9712" t="str">
        <f>T("   611019")</f>
        <v xml:space="preserve">   611019</v>
      </c>
      <c r="B9712" t="str">
        <f>T("   Chandails, pull-overs, cardigans, gilets et articles simil., y.c. les sous-pulls, en bonneterie, de poils fins (sauf de poils de chèvre du Cachemire et à l'excl. des gilets ouatinés)")</f>
        <v xml:space="preserve">   Chandails, pull-overs, cardigans, gilets et articles simil., y.c. les sous-pulls, en bonneterie, de poils fins (sauf de poils de chèvre du Cachemire et à l'excl. des gilets ouatinés)</v>
      </c>
      <c r="C9712">
        <v>349534</v>
      </c>
      <c r="D9712">
        <v>1480</v>
      </c>
    </row>
    <row r="9713" spans="1:4" x14ac:dyDescent="0.25">
      <c r="A9713" t="str">
        <f>T("   611090")</f>
        <v xml:space="preserve">   611090</v>
      </c>
      <c r="B9713" t="str">
        <f>T("   Chandails, pull-overs, cardigans, gilets et articles simil., y.c. les sous-pulls, en bonneterie, de matières textiles (sauf de laine, poils fins, coton, fibres synthétiques ou artificielles et sauf gilets ouatinés)")</f>
        <v xml:space="preserve">   Chandails, pull-overs, cardigans, gilets et articles simil., y.c. les sous-pulls, en bonneterie, de matières textiles (sauf de laine, poils fins, coton, fibres synthétiques ou artificielles et sauf gilets ouatinés)</v>
      </c>
      <c r="C9713">
        <v>131075</v>
      </c>
      <c r="D9713">
        <v>500</v>
      </c>
    </row>
    <row r="9714" spans="1:4" x14ac:dyDescent="0.25">
      <c r="A9714" t="str">
        <f>T("   611190")</f>
        <v xml:space="preserve">   611190</v>
      </c>
      <c r="B9714" t="str">
        <f>T("   VÊTEMENTS ET ACCESSOIRES DU VÊTEMENT, EN BONNETERIE, DE MATIÈRES TEXTILES, POUR BÉBÉS (SAUF DE COTON, FIBRES SYNTHÉTIQUES ET SAUF BONNETS)")</f>
        <v xml:space="preserve">   VÊTEMENTS ET ACCESSOIRES DU VÊTEMENT, EN BONNETERIE, DE MATIÈRES TEXTILES, POUR BÉBÉS (SAUF DE COTON, FIBRES SYNTHÉTIQUES ET SAUF BONNETS)</v>
      </c>
      <c r="C9714">
        <v>75835340</v>
      </c>
      <c r="D9714">
        <v>243774</v>
      </c>
    </row>
    <row r="9715" spans="1:4" x14ac:dyDescent="0.25">
      <c r="A9715" t="str">
        <f>T("   611219")</f>
        <v xml:space="preserve">   611219</v>
      </c>
      <c r="B9715" t="str">
        <f>T("   Survêtements de sport 'trainings', en bonneterie, de matières textiles (sauf de coton ou fibres synthétiques)")</f>
        <v xml:space="preserve">   Survêtements de sport 'trainings', en bonneterie, de matières textiles (sauf de coton ou fibres synthétiques)</v>
      </c>
      <c r="C9715">
        <v>104861</v>
      </c>
      <c r="D9715">
        <v>170</v>
      </c>
    </row>
    <row r="9716" spans="1:4" x14ac:dyDescent="0.25">
      <c r="A9716" t="str">
        <f>T("   611490")</f>
        <v xml:space="preserve">   611490</v>
      </c>
      <c r="B9716" t="str">
        <f>T("   Vêtements spéciaux destinés à des fins professionnelles, sportives ou autres n.d.a., en bonneterie, de matières textiles (sauf de laine, poils fins, coton, fibres synthétiques ou artificielles)")</f>
        <v xml:space="preserve">   Vêtements spéciaux destinés à des fins professionnelles, sportives ou autres n.d.a., en bonneterie, de matières textiles (sauf de laine, poils fins, coton, fibres synthétiques ou artificielles)</v>
      </c>
      <c r="C9716">
        <v>8065000</v>
      </c>
      <c r="D9716">
        <v>19545</v>
      </c>
    </row>
    <row r="9717" spans="1:4" x14ac:dyDescent="0.25">
      <c r="A9717" t="str">
        <f>T("   611592")</f>
        <v xml:space="preserve">   611592</v>
      </c>
      <c r="B9717" t="str">
        <f>T("   BAS ET MI-BAS, CHAUSSETTES ET AUTRES ARTICLES CHAUSSANTS, Y.C. LES BAS À VARICES, EN BONNETERIE, DE COTON (SAUF COLLANTS 'BAS-CULOTTES' BAS ET MI-BAS DE FEMMES À TITRE EN FILS SIMPLES &lt; 67 DÉCITEX ET SAUF ARTICLES CHAUSSANTS POUR BÉBÉS)")</f>
        <v xml:space="preserve">   BAS ET MI-BAS, CHAUSSETTES ET AUTRES ARTICLES CHAUSSANTS, Y.C. LES BAS À VARICES, EN BONNETERIE, DE COTON (SAUF COLLANTS 'BAS-CULOTTES' BAS ET MI-BAS DE FEMMES À TITRE EN FILS SIMPLES &lt; 67 DÉCITEX ET SAUF ARTICLES CHAUSSANTS POUR BÉBÉS)</v>
      </c>
      <c r="C9717">
        <v>436920</v>
      </c>
      <c r="D9717">
        <v>650</v>
      </c>
    </row>
    <row r="9718" spans="1:4" x14ac:dyDescent="0.25">
      <c r="A9718" t="str">
        <f>T("   611790")</f>
        <v xml:space="preserve">   611790</v>
      </c>
      <c r="B9718" t="str">
        <f>T("   Parties de vêtements ou d'accessoires du vêtement, en bonneterie, n.d.a.")</f>
        <v xml:space="preserve">   Parties de vêtements ou d'accessoires du vêtement, en bonneterie, n.d.a.</v>
      </c>
      <c r="C9718">
        <v>224439</v>
      </c>
      <c r="D9718">
        <v>3185</v>
      </c>
    </row>
    <row r="9719" spans="1:4" x14ac:dyDescent="0.25">
      <c r="A9719" t="str">
        <f>T("   620119")</f>
        <v xml:space="preserve">   620119</v>
      </c>
      <c r="B9719" t="str">
        <f>T("   Manteaux, imperméables, cabans, capes et articles simil., de matières textiles, pour hommes ou garçonnets (autres que laine, poils fins, coton, fibres synthétiques ou artificielles et sauf articles en bonneterie)")</f>
        <v xml:space="preserve">   Manteaux, imperméables, cabans, capes et articles simil., de matières textiles, pour hommes ou garçonnets (autres que laine, poils fins, coton, fibres synthétiques ou artificielles et sauf articles en bonneterie)</v>
      </c>
      <c r="C9719">
        <v>176952</v>
      </c>
      <c r="D9719">
        <v>1750</v>
      </c>
    </row>
    <row r="9720" spans="1:4" x14ac:dyDescent="0.25">
      <c r="A9720" t="str">
        <f>T("   620319")</f>
        <v xml:space="preserve">   620319</v>
      </c>
      <c r="B9720" t="s">
        <v>267</v>
      </c>
      <c r="C9720">
        <v>80000</v>
      </c>
      <c r="D9720">
        <v>1762</v>
      </c>
    </row>
    <row r="9721" spans="1:4" x14ac:dyDescent="0.25">
      <c r="A9721" t="str">
        <f>T("   620342")</f>
        <v xml:space="preserve">   620342</v>
      </c>
      <c r="B9721" t="str">
        <f>T("   Pantalons, y.c. knickers et pantalons simil., salopettes à bretelles, culottes et shorts, de coton, pour hommes ou garçonnets (autres qu'en bonneterie et sauf slips et caleçons ainsi que maillots, culottes et slips de bain)")</f>
        <v xml:space="preserve">   Pantalons, y.c. knickers et pantalons simil., salopettes à bretelles, culottes et shorts, de coton, pour hommes ou garçonnets (autres qu'en bonneterie et sauf slips et caleçons ainsi que maillots, culottes et slips de bain)</v>
      </c>
      <c r="C9721">
        <v>878335</v>
      </c>
      <c r="D9721">
        <v>430</v>
      </c>
    </row>
    <row r="9722" spans="1:4" x14ac:dyDescent="0.25">
      <c r="A9722" t="str">
        <f>T("   620343")</f>
        <v xml:space="preserve">   620343</v>
      </c>
      <c r="B9722" t="str">
        <f>T("   Pantalons, y.c. knickers et pantalons simil., salopettes à bretelles, culottes et shorts, de fibres synthétiques, pour hommes ou garçonnets (autres qu'en bonneterie et sauf slips et caleçons et maillots, culottes et slips de bain)")</f>
        <v xml:space="preserve">   Pantalons, y.c. knickers et pantalons simil., salopettes à bretelles, culottes et shorts, de fibres synthétiques, pour hommes ou garçonnets (autres qu'en bonneterie et sauf slips et caleçons et maillots, culottes et slips de bain)</v>
      </c>
      <c r="C9722">
        <v>19326444</v>
      </c>
      <c r="D9722">
        <v>90000</v>
      </c>
    </row>
    <row r="9723" spans="1:4" x14ac:dyDescent="0.25">
      <c r="A9723" t="str">
        <f>T("   620349")</f>
        <v xml:space="preserve">   620349</v>
      </c>
      <c r="B9723" t="s">
        <v>268</v>
      </c>
      <c r="C9723">
        <v>2164167</v>
      </c>
      <c r="D9723">
        <v>18025</v>
      </c>
    </row>
    <row r="9724" spans="1:4" x14ac:dyDescent="0.25">
      <c r="A9724" t="str">
        <f>T("   620590")</f>
        <v xml:space="preserve">   620590</v>
      </c>
      <c r="B9724"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9724">
        <v>2150000</v>
      </c>
      <c r="D9724">
        <v>200</v>
      </c>
    </row>
    <row r="9725" spans="1:4" x14ac:dyDescent="0.25">
      <c r="A9725" t="str">
        <f>T("   620690")</f>
        <v xml:space="preserve">   620690</v>
      </c>
      <c r="B9725" t="s">
        <v>270</v>
      </c>
      <c r="C9725">
        <v>8364732</v>
      </c>
      <c r="D9725">
        <v>21750</v>
      </c>
    </row>
    <row r="9726" spans="1:4" x14ac:dyDescent="0.25">
      <c r="A9726" t="str">
        <f>T("   620829")</f>
        <v xml:space="preserve">   620829</v>
      </c>
      <c r="B9726" t="str">
        <f>T("   Chemises de nuit et pyjamas, de matières textiles, pour femmes ou fillettes (autres que de coton, fibres synthétiques ou artificielles, autres qu'en bonneterie et sauf gilets de corps, chemises de jour et déshabillés)")</f>
        <v xml:space="preserve">   Chemises de nuit et pyjamas, de matières textiles, pour femmes ou fillettes (autres que de coton, fibres synthétiques ou artificielles, autres qu'en bonneterie et sauf gilets de corps, chemises de jour et déshabillés)</v>
      </c>
      <c r="C9726">
        <v>32769</v>
      </c>
      <c r="D9726">
        <v>35</v>
      </c>
    </row>
    <row r="9727" spans="1:4" x14ac:dyDescent="0.25">
      <c r="A9727" t="str">
        <f>T("   620990")</f>
        <v xml:space="preserve">   620990</v>
      </c>
      <c r="B9727" t="str">
        <f>T("   VÊTEMENTS ET ACCESSOIRES DU VÊTEMENT, DE MATIÈRES TEXTILES, POUR BÉBÉS (AUTRES QUE DE COTON, FIBRES SYNTHÉTIQUES, AUTRES QU'EN BONNETERIE ET SAUF BONNETS)")</f>
        <v xml:space="preserve">   VÊTEMENTS ET ACCESSOIRES DU VÊTEMENT, DE MATIÈRES TEXTILES, POUR BÉBÉS (AUTRES QUE DE COTON, FIBRES SYNTHÉTIQUES, AUTRES QU'EN BONNETERIE ET SAUF BONNETS)</v>
      </c>
      <c r="C9727">
        <v>6581456</v>
      </c>
      <c r="D9727">
        <v>32709</v>
      </c>
    </row>
    <row r="9728" spans="1:4" x14ac:dyDescent="0.25">
      <c r="A9728" t="str">
        <f>T("   621050")</f>
        <v xml:space="preserve">   621050</v>
      </c>
      <c r="B9728" t="s">
        <v>273</v>
      </c>
      <c r="C9728">
        <v>557073</v>
      </c>
      <c r="D9728">
        <v>1012</v>
      </c>
    </row>
    <row r="9729" spans="1:4" x14ac:dyDescent="0.25">
      <c r="A9729" t="str">
        <f>T("   621210")</f>
        <v xml:space="preserve">   621210</v>
      </c>
      <c r="B9729" t="str">
        <f>T("   Soutiens-gorge et bustiers en tous types de matières textiles, même élastiques et même en bonneterie")</f>
        <v xml:space="preserve">   Soutiens-gorge et bustiers en tous types de matières textiles, même élastiques et même en bonneterie</v>
      </c>
      <c r="C9729">
        <v>327689</v>
      </c>
      <c r="D9729">
        <v>180</v>
      </c>
    </row>
    <row r="9730" spans="1:4" x14ac:dyDescent="0.25">
      <c r="A9730" t="str">
        <f>T("   621220")</f>
        <v xml:space="preserve">   621220</v>
      </c>
      <c r="B9730" t="str">
        <f>T("   Gaines et gaines-culottes en tous types de matières textiles, même élastiques et même en bonneterie (sauf gaines et gaine-culottes entièrement en caoutchouc)")</f>
        <v xml:space="preserve">   Gaines et gaines-culottes en tous types de matières textiles, même élastiques et même en bonneterie (sauf gaines et gaine-culottes entièrement en caoutchouc)</v>
      </c>
      <c r="C9730">
        <v>295742</v>
      </c>
      <c r="D9730">
        <v>890</v>
      </c>
    </row>
    <row r="9731" spans="1:4" x14ac:dyDescent="0.25">
      <c r="A9731" t="str">
        <f>T("   621410")</f>
        <v xml:space="preserve">   621410</v>
      </c>
      <c r="B9731" t="str">
        <f>T("   Châles, écharpes, foulards, cache-nez, cache-col, mantilles, voiles et voilettes et articles simil., de soie ou de déchets de soie (autres qu'en bonneterie)")</f>
        <v xml:space="preserve">   Châles, écharpes, foulards, cache-nez, cache-col, mantilles, voiles et voilettes et articles simil., de soie ou de déchets de soie (autres qu'en bonneterie)</v>
      </c>
      <c r="C9731">
        <v>10923</v>
      </c>
      <c r="D9731">
        <v>11</v>
      </c>
    </row>
    <row r="9732" spans="1:4" x14ac:dyDescent="0.25">
      <c r="A9732" t="str">
        <f>T("   621490")</f>
        <v xml:space="preserve">   621490</v>
      </c>
      <c r="B9732" t="str">
        <f>T("   Châles, écharpes, foulards, cache-nez, cache-col, mantilles, voiles et voilettes et articles simil., de matières textiles (autres que de laine, poils fins, fibres synthétiques ou artificielles, soie et déchets de soie et autres qu'en bonneterie)")</f>
        <v xml:space="preserve">   Châles, écharpes, foulards, cache-nez, cache-col, mantilles, voiles et voilettes et articles simil., de matières textiles (autres que de laine, poils fins, fibres synthétiques ou artificielles, soie et déchets de soie et autres qu'en bonneterie)</v>
      </c>
      <c r="C9732">
        <v>6107600</v>
      </c>
      <c r="D9732">
        <v>26120</v>
      </c>
    </row>
    <row r="9733" spans="1:4" x14ac:dyDescent="0.25">
      <c r="A9733" t="str">
        <f>T("   621710")</f>
        <v xml:space="preserve">   621710</v>
      </c>
      <c r="B9733" t="str">
        <f>T("   Accessoires confectionnés du vêtement en tous types de matières textiles, n.d.a. (autres qu'en bonneterie)")</f>
        <v xml:space="preserve">   Accessoires confectionnés du vêtement en tous types de matières textiles, n.d.a. (autres qu'en bonneterie)</v>
      </c>
      <c r="C9733">
        <v>7121599</v>
      </c>
      <c r="D9733">
        <v>19115</v>
      </c>
    </row>
    <row r="9734" spans="1:4" x14ac:dyDescent="0.25">
      <c r="A9734" t="str">
        <f>T("   630190")</f>
        <v xml:space="preserve">   630190</v>
      </c>
      <c r="B9734" t="s">
        <v>275</v>
      </c>
      <c r="C9734">
        <v>436920</v>
      </c>
      <c r="D9734">
        <v>190</v>
      </c>
    </row>
    <row r="9735" spans="1:4" x14ac:dyDescent="0.25">
      <c r="A9735" t="str">
        <f>T("   630229")</f>
        <v xml:space="preserve">   630229</v>
      </c>
      <c r="B9735" t="str">
        <f>T("   Linge de lit, de matières textiles, imprimé (autre que de coton, fibres synthétiques ou artificielles, autres qu'en bonneterie)")</f>
        <v xml:space="preserve">   Linge de lit, de matières textiles, imprimé (autre que de coton, fibres synthétiques ou artificielles, autres qu'en bonneterie)</v>
      </c>
      <c r="C9735">
        <v>2500000</v>
      </c>
      <c r="D9735">
        <v>9400</v>
      </c>
    </row>
    <row r="9736" spans="1:4" x14ac:dyDescent="0.25">
      <c r="A9736" t="str">
        <f>T("   630259")</f>
        <v xml:space="preserve">   630259</v>
      </c>
      <c r="B9736" t="str">
        <f>T("   LINGE DE TABLE DE MATIÈRES TEXTILES (AUTRE QUE DE COTON, FIBRES SYNTHÉTIQUES OU ARTIFICIELLES, AUTRE QU'EN BONNETERIE)")</f>
        <v xml:space="preserve">   LINGE DE TABLE DE MATIÈRES TEXTILES (AUTRE QUE DE COTON, FIBRES SYNTHÉTIQUES OU ARTIFICIELLES, AUTRE QU'EN BONNETERIE)</v>
      </c>
      <c r="C9736">
        <v>32769</v>
      </c>
      <c r="D9736">
        <v>120</v>
      </c>
    </row>
    <row r="9737" spans="1:4" x14ac:dyDescent="0.25">
      <c r="A9737" t="str">
        <f>T("   630260")</f>
        <v xml:space="preserve">   630260</v>
      </c>
      <c r="B9737" t="str">
        <f>T("   Linge de toilette ou de cuisine, bouclé du genre éponge, de coton (sauf serpillières, chiffons à parquet, lavettes et chamoisettes)")</f>
        <v xml:space="preserve">   Linge de toilette ou de cuisine, bouclé du genre éponge, de coton (sauf serpillières, chiffons à parquet, lavettes et chamoisettes)</v>
      </c>
      <c r="C9737">
        <v>22223278</v>
      </c>
      <c r="D9737">
        <v>52928</v>
      </c>
    </row>
    <row r="9738" spans="1:4" x14ac:dyDescent="0.25">
      <c r="A9738" t="str">
        <f>T("   630299")</f>
        <v xml:space="preserve">   630299</v>
      </c>
      <c r="B9738" t="str">
        <f>T("   LINGE DE TOILETTE OU DE CUISINE, DE MATIÈRES TEXTILES (AUTRE QUE DE COTON, FIBRES SYNTHÉTIQUES OU ARTIFICIELLES ET SAUF SERPILLIÈRES, CHIFFONS À PARQUET, LAVETTES ET CHAMOISETTES)")</f>
        <v xml:space="preserve">   LINGE DE TOILETTE OU DE CUISINE, DE MATIÈRES TEXTILES (AUTRE QUE DE COTON, FIBRES SYNTHÉTIQUES OU ARTIFICIELLES ET SAUF SERPILLIÈRES, CHIFFONS À PARQUET, LAVETTES ET CHAMOISETTES)</v>
      </c>
      <c r="C9738">
        <v>3162440</v>
      </c>
      <c r="D9738">
        <v>28443</v>
      </c>
    </row>
    <row r="9739" spans="1:4" x14ac:dyDescent="0.25">
      <c r="A9739" t="str">
        <f>T("   630319")</f>
        <v xml:space="preserve">   630319</v>
      </c>
      <c r="B9739" t="str">
        <f>T("   Vitrages, rideaux et stores d'intérieur ainsi que cantonnières et tours de lit, en bonneterie (autres que de coton et fibres synthétiques et autres que stores d'extérieur)")</f>
        <v xml:space="preserve">   Vitrages, rideaux et stores d'intérieur ainsi que cantonnières et tours de lit, en bonneterie (autres que de coton et fibres synthétiques et autres que stores d'extérieur)</v>
      </c>
      <c r="C9739">
        <v>764610</v>
      </c>
      <c r="D9739">
        <v>3020</v>
      </c>
    </row>
    <row r="9740" spans="1:4" x14ac:dyDescent="0.25">
      <c r="A9740" t="str">
        <f>T("   630491")</f>
        <v xml:space="preserve">   630491</v>
      </c>
      <c r="B9740" t="s">
        <v>276</v>
      </c>
      <c r="C9740">
        <v>5929093</v>
      </c>
      <c r="D9740">
        <v>2780</v>
      </c>
    </row>
    <row r="9741" spans="1:4" x14ac:dyDescent="0.25">
      <c r="A9741" t="str">
        <f>T("   630499")</f>
        <v xml:space="preserve">   630499</v>
      </c>
      <c r="B9741" t="s">
        <v>279</v>
      </c>
      <c r="C9741">
        <v>8596000</v>
      </c>
      <c r="D9741">
        <v>31546</v>
      </c>
    </row>
    <row r="9742" spans="1:4" x14ac:dyDescent="0.25">
      <c r="A9742" t="str">
        <f>T("   630510")</f>
        <v xml:space="preserve">   630510</v>
      </c>
      <c r="B9742" t="str">
        <f>T("   Sacs et sachets d'emballage de jute ou d'autres fibres textiles libériennes du n° 5303")</f>
        <v xml:space="preserve">   Sacs et sachets d'emballage de jute ou d'autres fibres textiles libériennes du n° 5303</v>
      </c>
      <c r="C9742">
        <v>69841203</v>
      </c>
      <c r="D9742">
        <v>498523</v>
      </c>
    </row>
    <row r="9743" spans="1:4" x14ac:dyDescent="0.25">
      <c r="A9743" t="str">
        <f>T("   630533")</f>
        <v xml:space="preserve">   630533</v>
      </c>
      <c r="B9743" t="str">
        <f>T("   Sacs et sachets d'emballage obtenus à partir de lames ou formes simil., de polyéthylène ou polypropylène (à l'excl. des contenants souples pour matières en vrac)")</f>
        <v xml:space="preserve">   Sacs et sachets d'emballage obtenus à partir de lames ou formes simil., de polyéthylène ou polypropylène (à l'excl. des contenants souples pour matières en vrac)</v>
      </c>
      <c r="C9743">
        <v>1000000</v>
      </c>
      <c r="D9743">
        <v>300</v>
      </c>
    </row>
    <row r="9744" spans="1:4" x14ac:dyDescent="0.25">
      <c r="A9744" t="str">
        <f>T("   630539")</f>
        <v xml:space="preserve">   630539</v>
      </c>
      <c r="B9744" t="str">
        <f>T("   Sacs et sachets d'emballage de matières synthétiques ou artificielles (autres qu'en lames ou formes simil. de polyéthylène ou de polypropylène ainsi que contenants souples pour matières en vrac)")</f>
        <v xml:space="preserve">   Sacs et sachets d'emballage de matières synthétiques ou artificielles (autres qu'en lames ou formes simil. de polyéthylène ou de polypropylène ainsi que contenants souples pour matières en vrac)</v>
      </c>
      <c r="C9744">
        <v>704802</v>
      </c>
      <c r="D9744">
        <v>3665</v>
      </c>
    </row>
    <row r="9745" spans="1:4" x14ac:dyDescent="0.25">
      <c r="A9745" t="str">
        <f>T("   630590")</f>
        <v xml:space="preserve">   630590</v>
      </c>
      <c r="B9745" t="str">
        <f>T("   Sacs et sachets d'emballage de matières textiles (autres qu'en matières textiles synthétiques ou artificielles, coton, jute ou autres fibres textiles libérienne du n° 5303)")</f>
        <v xml:space="preserve">   Sacs et sachets d'emballage de matières textiles (autres qu'en matières textiles synthétiques ou artificielles, coton, jute ou autres fibres textiles libérienne du n° 5303)</v>
      </c>
      <c r="C9745">
        <v>1162206</v>
      </c>
      <c r="D9745">
        <v>7700</v>
      </c>
    </row>
    <row r="9746" spans="1:4" x14ac:dyDescent="0.25">
      <c r="A9746" t="str">
        <f>T("   630649")</f>
        <v xml:space="preserve">   630649</v>
      </c>
      <c r="B9746" t="str">
        <f>T("   Matelas pneumatiques de matières textiles (autres que de coton)")</f>
        <v xml:space="preserve">   Matelas pneumatiques de matières textiles (autres que de coton)</v>
      </c>
      <c r="C9746">
        <v>43692</v>
      </c>
      <c r="D9746">
        <v>80</v>
      </c>
    </row>
    <row r="9747" spans="1:4" x14ac:dyDescent="0.25">
      <c r="A9747" t="str">
        <f>T("   630900")</f>
        <v xml:space="preserve">   630900</v>
      </c>
      <c r="B9747" t="s">
        <v>280</v>
      </c>
      <c r="C9747">
        <v>808025431</v>
      </c>
      <c r="D9747">
        <v>3063297</v>
      </c>
    </row>
    <row r="9748" spans="1:4" x14ac:dyDescent="0.25">
      <c r="A9748" t="str">
        <f>T("   631090")</f>
        <v xml:space="preserve">   631090</v>
      </c>
      <c r="B9748" t="str">
        <f>T("   Chiffons en tous types de matières textiles ainsi que ficelles, cordes et cordages et articles composés de ceux-ci, de matières textiles, sous forme de déchets ou d'articles hors d'usage, non triés")</f>
        <v xml:space="preserve">   Chiffons en tous types de matières textiles ainsi que ficelles, cordes et cordages et articles composés de ceux-ci, de matières textiles, sous forme de déchets ou d'articles hors d'usage, non triés</v>
      </c>
      <c r="C9748">
        <v>120153</v>
      </c>
      <c r="D9748">
        <v>205</v>
      </c>
    </row>
    <row r="9749" spans="1:4" x14ac:dyDescent="0.25">
      <c r="A9749" t="str">
        <f>T("   640110")</f>
        <v xml:space="preserve">   640110</v>
      </c>
      <c r="B9749" t="s">
        <v>281</v>
      </c>
      <c r="C9749">
        <v>648298</v>
      </c>
      <c r="D9749">
        <v>2800</v>
      </c>
    </row>
    <row r="9750" spans="1:4" x14ac:dyDescent="0.25">
      <c r="A9750" t="str">
        <f>T("   640191")</f>
        <v xml:space="preserve">   640191</v>
      </c>
      <c r="B9750" t="s">
        <v>281</v>
      </c>
      <c r="C9750">
        <v>86440</v>
      </c>
      <c r="D9750">
        <v>200</v>
      </c>
    </row>
    <row r="9751" spans="1:4" x14ac:dyDescent="0.25">
      <c r="A9751" t="str">
        <f>T("   640199")</f>
        <v xml:space="preserve">   640199</v>
      </c>
      <c r="B9751" t="s">
        <v>281</v>
      </c>
      <c r="C9751">
        <v>15000000</v>
      </c>
      <c r="D9751">
        <v>57237</v>
      </c>
    </row>
    <row r="9752" spans="1:4" x14ac:dyDescent="0.25">
      <c r="A9752" t="str">
        <f>T("   640219")</f>
        <v xml:space="preserve">   640219</v>
      </c>
      <c r="B9752" t="s">
        <v>283</v>
      </c>
      <c r="C9752">
        <v>10813339</v>
      </c>
      <c r="D9752">
        <v>63890</v>
      </c>
    </row>
    <row r="9753" spans="1:4" x14ac:dyDescent="0.25">
      <c r="A9753" t="str">
        <f>T("   640220")</f>
        <v xml:space="preserve">   640220</v>
      </c>
      <c r="B9753" t="str">
        <f>T("   Chaussures à semelles extérieures et dessus en caoutchouc ou en matière plastique, à dessus en lanières ou brides fixées à la semelle par des tétons (sauf chaussures ayant le caractère de jouets)")</f>
        <v xml:space="preserve">   Chaussures à semelles extérieures et dessus en caoutchouc ou en matière plastique, à dessus en lanières ou brides fixées à la semelle par des tétons (sauf chaussures ayant le caractère de jouets)</v>
      </c>
      <c r="C9753">
        <v>150419681</v>
      </c>
      <c r="D9753">
        <v>1055813</v>
      </c>
    </row>
    <row r="9754" spans="1:4" x14ac:dyDescent="0.25">
      <c r="A9754" t="str">
        <f>T("   640230")</f>
        <v xml:space="preserve">   640230</v>
      </c>
      <c r="B9754" t="s">
        <v>284</v>
      </c>
      <c r="C9754">
        <v>21876688</v>
      </c>
      <c r="D9754">
        <v>129570</v>
      </c>
    </row>
    <row r="9755" spans="1:4" x14ac:dyDescent="0.25">
      <c r="A9755" t="str">
        <f>T("   640291")</f>
        <v xml:space="preserve">   640291</v>
      </c>
      <c r="B9755" t="str">
        <f>T("   CHAUSSURES À SEMELLES EXTÉRIEURES ET DESSUS EN CAOUTCHOUC OU EN MATIÈRES PLASTIQUES, COUVRANT LA CHEVILLE (SAUF CHAUSSURES ÉTANCHES DU N° 6401, CHAUSSURES D'ORTHOPÉDIE ET DE SPORT ET CHAUSSURES AYANT LE CARACTÈRE DE JOUETS)")</f>
        <v xml:space="preserve">   CHAUSSURES À SEMELLES EXTÉRIEURES ET DESSUS EN CAOUTCHOUC OU EN MATIÈRES PLASTIQUES, COUVRANT LA CHEVILLE (SAUF CHAUSSURES ÉTANCHES DU N° 6401, CHAUSSURES D'ORTHOPÉDIE ET DE SPORT ET CHAUSSURES AYANT LE CARACTÈRE DE JOUETS)</v>
      </c>
      <c r="C9755">
        <v>324149</v>
      </c>
      <c r="D9755">
        <v>1280</v>
      </c>
    </row>
    <row r="9756" spans="1:4" x14ac:dyDescent="0.25">
      <c r="A9756" t="str">
        <f>T("   640299")</f>
        <v xml:space="preserve">   640299</v>
      </c>
      <c r="B9756" t="s">
        <v>285</v>
      </c>
      <c r="C9756">
        <v>91515500</v>
      </c>
      <c r="D9756">
        <v>525495</v>
      </c>
    </row>
    <row r="9757" spans="1:4" x14ac:dyDescent="0.25">
      <c r="A9757" t="str">
        <f>T("   640319")</f>
        <v xml:space="preserve">   640319</v>
      </c>
      <c r="B9757" t="s">
        <v>286</v>
      </c>
      <c r="C9757">
        <v>62871952</v>
      </c>
      <c r="D9757">
        <v>309189</v>
      </c>
    </row>
    <row r="9758" spans="1:4" x14ac:dyDescent="0.25">
      <c r="A9758" t="str">
        <f>T("   640320")</f>
        <v xml:space="preserve">   640320</v>
      </c>
      <c r="B9758" t="str">
        <f>T("   Chaussures à semelles extérieures en cuir naturel et dessus constitués de lanières en cuir naturel passant sur le cou-de-pied et entourant le gros orteil")</f>
        <v xml:space="preserve">   Chaussures à semelles extérieures en cuir naturel et dessus constitués de lanières en cuir naturel passant sur le cou-de-pied et entourant le gros orteil</v>
      </c>
      <c r="C9758">
        <v>1521610</v>
      </c>
      <c r="D9758">
        <v>12935</v>
      </c>
    </row>
    <row r="9759" spans="1:4" x14ac:dyDescent="0.25">
      <c r="A9759" t="str">
        <f>T("   640391")</f>
        <v xml:space="preserve">   640391</v>
      </c>
      <c r="B9759" t="s">
        <v>287</v>
      </c>
      <c r="C9759">
        <v>432199</v>
      </c>
      <c r="D9759">
        <v>2320</v>
      </c>
    </row>
    <row r="9760" spans="1:4" x14ac:dyDescent="0.25">
      <c r="A9760" t="str">
        <f>T("   640419")</f>
        <v xml:space="preserve">   640419</v>
      </c>
      <c r="B9760" t="s">
        <v>289</v>
      </c>
      <c r="C9760">
        <v>25059834</v>
      </c>
      <c r="D9760">
        <v>132441</v>
      </c>
    </row>
    <row r="9761" spans="1:4" x14ac:dyDescent="0.25">
      <c r="A9761" t="str">
        <f>T("   640420")</f>
        <v xml:space="preserve">   640420</v>
      </c>
      <c r="B9761" t="str">
        <f>T("   Chaussures à semelles extérieures en cuir naturel ou reconstitué, à dessus en matières textiles (sauf chaussures ayant le caractère de jouets)")</f>
        <v xml:space="preserve">   Chaussures à semelles extérieures en cuir naturel ou reconstitué, à dessus en matières textiles (sauf chaussures ayant le caractère de jouets)</v>
      </c>
      <c r="C9761">
        <v>432199</v>
      </c>
      <c r="D9761">
        <v>3250</v>
      </c>
    </row>
    <row r="9762" spans="1:4" x14ac:dyDescent="0.25">
      <c r="A9762" t="str">
        <f>T("   640590")</f>
        <v xml:space="preserve">   640590</v>
      </c>
      <c r="B9762" t="s">
        <v>290</v>
      </c>
      <c r="C9762">
        <v>266135634</v>
      </c>
      <c r="D9762">
        <v>1271535</v>
      </c>
    </row>
    <row r="9763" spans="1:4" x14ac:dyDescent="0.25">
      <c r="A9763" t="str">
        <f>T("   640620")</f>
        <v xml:space="preserve">   640620</v>
      </c>
      <c r="B9763" t="str">
        <f>T("   Semelles extérieures et talons de chaussures, en caoutchouc ou en matière plastique")</f>
        <v xml:space="preserve">   Semelles extérieures et talons de chaussures, en caoutchouc ou en matière plastique</v>
      </c>
      <c r="C9763">
        <v>1372379</v>
      </c>
      <c r="D9763">
        <v>16790</v>
      </c>
    </row>
    <row r="9764" spans="1:4" x14ac:dyDescent="0.25">
      <c r="A9764" t="str">
        <f>T("   650400")</f>
        <v xml:space="preserve">   650400</v>
      </c>
      <c r="B9764" t="str">
        <f>T("   Chapeaux et autres coiffures, tressés ou fabriqués par l'assemblage de bandes en toutes matières, même garnis (sauf coiffures pour animaux ou ayant le caractère de jouets ou d'articles de carnaval)")</f>
        <v xml:space="preserve">   Chapeaux et autres coiffures, tressés ou fabriqués par l'assemblage de bandes en toutes matières, même garnis (sauf coiffures pour animaux ou ayant le caractère de jouets ou d'articles de carnaval)</v>
      </c>
      <c r="C9764">
        <v>54025</v>
      </c>
      <c r="D9764">
        <v>50</v>
      </c>
    </row>
    <row r="9765" spans="1:4" x14ac:dyDescent="0.25">
      <c r="A9765" t="str">
        <f>T("   650590")</f>
        <v xml:space="preserve">   650590</v>
      </c>
      <c r="B9765" t="s">
        <v>291</v>
      </c>
      <c r="C9765">
        <v>1355519</v>
      </c>
      <c r="D9765">
        <v>6567</v>
      </c>
    </row>
    <row r="9766" spans="1:4" x14ac:dyDescent="0.25">
      <c r="A9766" t="str">
        <f>T("   650610")</f>
        <v xml:space="preserve">   650610</v>
      </c>
      <c r="B9766" t="str">
        <f>T("   Coiffures de sécurité, même garnies")</f>
        <v xml:space="preserve">   Coiffures de sécurité, même garnies</v>
      </c>
      <c r="C9766">
        <v>5298177</v>
      </c>
      <c r="D9766">
        <v>7805</v>
      </c>
    </row>
    <row r="9767" spans="1:4" x14ac:dyDescent="0.25">
      <c r="A9767" t="str">
        <f>T("   650691")</f>
        <v xml:space="preserve">   650691</v>
      </c>
      <c r="B9767" t="s">
        <v>292</v>
      </c>
      <c r="C9767">
        <v>1274400</v>
      </c>
      <c r="D9767">
        <v>40</v>
      </c>
    </row>
    <row r="9768" spans="1:4" x14ac:dyDescent="0.25">
      <c r="A9768" t="str">
        <f>T("   650699")</f>
        <v xml:space="preserve">   650699</v>
      </c>
      <c r="B9768" t="str">
        <f>T("   Chapeaux et autres coiffures, même garnis, n.d.a.")</f>
        <v xml:space="preserve">   Chapeaux et autres coiffures, même garnis, n.d.a.</v>
      </c>
      <c r="C9768">
        <v>707676</v>
      </c>
      <c r="D9768">
        <v>1639</v>
      </c>
    </row>
    <row r="9769" spans="1:4" x14ac:dyDescent="0.25">
      <c r="A9769" t="str">
        <f>T("   660199")</f>
        <v xml:space="preserve">   660199</v>
      </c>
      <c r="B9769" t="str">
        <f>T("   Parapluies, y.c. les parapluies-cannes et ombrelles (sauf parapluies et ombrelles à mât ou à manche télescopique, parasols de jardin et articles simil. et sauf jouets d'enfants)")</f>
        <v xml:space="preserve">   Parapluies, y.c. les parapluies-cannes et ombrelles (sauf parapluies et ombrelles à mât ou à manche télescopique, parasols de jardin et articles simil. et sauf jouets d'enfants)</v>
      </c>
      <c r="C9769">
        <v>415074</v>
      </c>
      <c r="D9769">
        <v>1140</v>
      </c>
    </row>
    <row r="9770" spans="1:4" x14ac:dyDescent="0.25">
      <c r="A9770" t="str">
        <f>T("   670411")</f>
        <v xml:space="preserve">   670411</v>
      </c>
      <c r="B9770" t="str">
        <f>T("   Perruques complètes en matières textiles synthétiques")</f>
        <v xml:space="preserve">   Perruques complètes en matières textiles synthétiques</v>
      </c>
      <c r="C9770">
        <v>500000</v>
      </c>
      <c r="D9770">
        <v>721</v>
      </c>
    </row>
    <row r="9771" spans="1:4" x14ac:dyDescent="0.25">
      <c r="A9771" t="str">
        <f>T("   670419")</f>
        <v xml:space="preserve">   670419</v>
      </c>
      <c r="B9771" t="str">
        <f>T("   Barbes, sourcils, cils, mèches et articles simil., en matières textiles synthétiques (sauf perruques complètes)")</f>
        <v xml:space="preserve">   Barbes, sourcils, cils, mèches et articles simil., en matières textiles synthétiques (sauf perruques complètes)</v>
      </c>
      <c r="C9771">
        <v>1272880</v>
      </c>
      <c r="D9771">
        <v>3520</v>
      </c>
    </row>
    <row r="9772" spans="1:4" x14ac:dyDescent="0.25">
      <c r="A9772" t="str">
        <f>T("   670420")</f>
        <v xml:space="preserve">   670420</v>
      </c>
      <c r="B9772" t="str">
        <f>T("   Perruques, barbes, sourcils, cils, mèches et articles simil., en cheveux; ouvrages en cheveux n.d.a.")</f>
        <v xml:space="preserve">   Perruques, barbes, sourcils, cils, mèches et articles simil., en cheveux; ouvrages en cheveux n.d.a.</v>
      </c>
      <c r="C9772">
        <v>85727135</v>
      </c>
      <c r="D9772">
        <v>416892</v>
      </c>
    </row>
    <row r="9773" spans="1:4" x14ac:dyDescent="0.25">
      <c r="A9773" t="str">
        <f>T("   680210")</f>
        <v xml:space="preserve">   680210</v>
      </c>
      <c r="B9773" t="s">
        <v>293</v>
      </c>
      <c r="C9773">
        <v>2074768</v>
      </c>
      <c r="D9773">
        <v>17500</v>
      </c>
    </row>
    <row r="9774" spans="1:4" x14ac:dyDescent="0.25">
      <c r="A9774" t="str">
        <f>T("   680229")</f>
        <v xml:space="preserve">   680229</v>
      </c>
      <c r="B9774" t="s">
        <v>295</v>
      </c>
      <c r="C9774">
        <v>10923</v>
      </c>
      <c r="D9774">
        <v>55</v>
      </c>
    </row>
    <row r="9775" spans="1:4" x14ac:dyDescent="0.25">
      <c r="A9775" t="str">
        <f>T("   680293")</f>
        <v xml:space="preserve">   680293</v>
      </c>
      <c r="B9775" t="str">
        <f>T("   GRANIT DE N'IMPORTE QUELLE FORME, POLI, DÉCORÉ OU AUTREMENT TRAVAILLÉ (SAUF OUVRAGES DU 6802.10; BIJOUX DE FANTAISIE; PENDULES ET ARTICLES D'HORLOGERIE, APPAREILS D'ÉCLAIRAGE ET LEURS PARTIES; OBJETS D'ART ORIGINAUX SCULPTÉS)")</f>
        <v xml:space="preserve">   GRANIT DE N'IMPORTE QUELLE FORME, POLI, DÉCORÉ OU AUTREMENT TRAVAILLÉ (SAUF OUVRAGES DU 6802.10; BIJOUX DE FANTAISIE; PENDULES ET ARTICLES D'HORLOGERIE, APPAREILS D'ÉCLAIRAGE ET LEURS PARTIES; OBJETS D'ART ORIGINAUX SCULPTÉS)</v>
      </c>
      <c r="C9775">
        <v>109230</v>
      </c>
      <c r="D9775">
        <v>2300</v>
      </c>
    </row>
    <row r="9776" spans="1:4" x14ac:dyDescent="0.25">
      <c r="A9776" t="str">
        <f>T("   680299")</f>
        <v xml:space="preserve">   680299</v>
      </c>
      <c r="B9776" t="s">
        <v>297</v>
      </c>
      <c r="C9776">
        <v>80000</v>
      </c>
      <c r="D9776">
        <v>1703</v>
      </c>
    </row>
    <row r="9777" spans="1:4" x14ac:dyDescent="0.25">
      <c r="A9777" t="str">
        <f>T("   680990")</f>
        <v xml:space="preserve">   680990</v>
      </c>
      <c r="B9777" t="s">
        <v>302</v>
      </c>
      <c r="C9777">
        <v>1022402</v>
      </c>
      <c r="D9777">
        <v>5606</v>
      </c>
    </row>
    <row r="9778" spans="1:4" x14ac:dyDescent="0.25">
      <c r="A9778" t="str">
        <f>T("   681120")</f>
        <v xml:space="preserve">   681120</v>
      </c>
      <c r="B9778" t="str">
        <f>T("   Plaques, panneaux, carreaux, tuiles et articles simil., en amiante-ciment, cellulose-ciment ou simil. (sauf plaques ondulées)")</f>
        <v xml:space="preserve">   Plaques, panneaux, carreaux, tuiles et articles simil., en amiante-ciment, cellulose-ciment ou simil. (sauf plaques ondulées)</v>
      </c>
      <c r="C9778">
        <v>1229928</v>
      </c>
      <c r="D9778">
        <v>8731</v>
      </c>
    </row>
    <row r="9779" spans="1:4" x14ac:dyDescent="0.25">
      <c r="A9779" t="str">
        <f>T("   681240")</f>
        <v xml:space="preserve">   681240</v>
      </c>
      <c r="B9779" t="str">
        <f>T("   TISSUS ET ETOFFES DE BONNETERIE EN AMIANTE OU EN MÉLANGES A BASE D'AMIANTE OU A BASE D'AMIANTE ET DE CARBONATE DE MAGNESIUM")</f>
        <v xml:space="preserve">   TISSUS ET ETOFFES DE BONNETERIE EN AMIANTE OU EN MÉLANGES A BASE D'AMIANTE OU A BASE D'AMIANTE ET DE CARBONATE DE MAGNESIUM</v>
      </c>
      <c r="C9779">
        <v>218460</v>
      </c>
      <c r="D9779">
        <v>100</v>
      </c>
    </row>
    <row r="9780" spans="1:4" x14ac:dyDescent="0.25">
      <c r="A9780" t="str">
        <f>T("   690600")</f>
        <v xml:space="preserve">   690600</v>
      </c>
      <c r="B9780" t="s">
        <v>309</v>
      </c>
      <c r="C9780">
        <v>226644</v>
      </c>
      <c r="D9780">
        <v>1446</v>
      </c>
    </row>
    <row r="9781" spans="1:4" x14ac:dyDescent="0.25">
      <c r="A9781" t="str">
        <f>T("   690890")</f>
        <v xml:space="preserve">   690890</v>
      </c>
      <c r="B9781" t="s">
        <v>311</v>
      </c>
      <c r="C9781">
        <v>12580773</v>
      </c>
      <c r="D9781">
        <v>102880</v>
      </c>
    </row>
    <row r="9782" spans="1:4" x14ac:dyDescent="0.25">
      <c r="A9782" t="str">
        <f>T("   691010")</f>
        <v xml:space="preserve">   691010</v>
      </c>
      <c r="B9782" t="s">
        <v>312</v>
      </c>
      <c r="C9782">
        <v>7937791</v>
      </c>
      <c r="D9782">
        <v>23860</v>
      </c>
    </row>
    <row r="9783" spans="1:4" x14ac:dyDescent="0.25">
      <c r="A9783" t="str">
        <f>T("   691110")</f>
        <v xml:space="preserve">   691110</v>
      </c>
      <c r="B9783" t="s">
        <v>314</v>
      </c>
      <c r="C9783">
        <v>697157</v>
      </c>
      <c r="D9783">
        <v>4309</v>
      </c>
    </row>
    <row r="9784" spans="1:4" x14ac:dyDescent="0.25">
      <c r="A9784" t="str">
        <f>T("   691200")</f>
        <v xml:space="preserve">   691200</v>
      </c>
      <c r="B9784" t="s">
        <v>316</v>
      </c>
      <c r="C9784">
        <v>327688</v>
      </c>
      <c r="D9784">
        <v>6760</v>
      </c>
    </row>
    <row r="9785" spans="1:4" x14ac:dyDescent="0.25">
      <c r="A9785" t="str">
        <f>T("   691410")</f>
        <v xml:space="preserve">   691410</v>
      </c>
      <c r="B9785" t="str">
        <f>T("   Ouvrages en porcelaine n.d.a.")</f>
        <v xml:space="preserve">   Ouvrages en porcelaine n.d.a.</v>
      </c>
      <c r="C9785">
        <v>531644</v>
      </c>
      <c r="D9785">
        <v>2357</v>
      </c>
    </row>
    <row r="9786" spans="1:4" x14ac:dyDescent="0.25">
      <c r="A9786" t="str">
        <f>T("   691490")</f>
        <v xml:space="preserve">   691490</v>
      </c>
      <c r="B9786" t="str">
        <f>T("   Ouvrages en céramique autres que la porcelaine n.d.a.")</f>
        <v xml:space="preserve">   Ouvrages en céramique autres que la porcelaine n.d.a.</v>
      </c>
      <c r="C9786">
        <v>34864</v>
      </c>
      <c r="D9786">
        <v>1320</v>
      </c>
    </row>
    <row r="9787" spans="1:4" x14ac:dyDescent="0.25">
      <c r="A9787" t="str">
        <f>T("   700319")</f>
        <v xml:space="preserve">   700319</v>
      </c>
      <c r="B9787" t="str">
        <f>T("   PLAQUES ET FEUILLES EN VERRE DIT 'COULÉ', MAIS NON AUTREMENT TRAVAILLÉ (AUTRES QUE COLORÉES DANS LA MASSE, OPACIFIÉES, PLAQUÉES [DOUBLÉES], OU À COUCHE RÉFLÉCHISSANTE OU NON-RÉFLÉCHISSANTE ET SAUF EN VERRE ARMÉ)")</f>
        <v xml:space="preserve">   PLAQUES ET FEUILLES EN VERRE DIT 'COULÉ', MAIS NON AUTREMENT TRAVAILLÉ (AUTRES QUE COLORÉES DANS LA MASSE, OPACIFIÉES, PLAQUÉES [DOUBLÉES], OU À COUCHE RÉFLÉCHISSANTE OU NON-RÉFLÉCHISSANTE ET SAUF EN VERRE ARMÉ)</v>
      </c>
      <c r="C9787">
        <v>1500000</v>
      </c>
      <c r="D9787">
        <v>6000</v>
      </c>
    </row>
    <row r="9788" spans="1:4" x14ac:dyDescent="0.25">
      <c r="A9788" t="str">
        <f>T("   700490")</f>
        <v xml:space="preserve">   700490</v>
      </c>
      <c r="B9788" t="str">
        <f>T("   FEUILLES EN VERRE ÉTIRÉ OU SOUFFLÉ MAIS NON AUTREMENT TRAVAILLÉ (AUTRES QU'EN VERRE COLORÉ DANS LA MASSE, OPACIFIÉ, PLAQUÉ [DOUBLÉ], OU À COUCHE ABSORBANTE, RÉFLÉCHISSANTE OU NON-RÉFLÉCHISSANTE)")</f>
        <v xml:space="preserve">   FEUILLES EN VERRE ÉTIRÉ OU SOUFFLÉ MAIS NON AUTREMENT TRAVAILLÉ (AUTRES QU'EN VERRE COLORÉ DANS LA MASSE, OPACIFIÉ, PLAQUÉ [DOUBLÉ], OU À COUCHE ABSORBANTE, RÉFLÉCHISSANTE OU NON-RÉFLÉCHISSANTE)</v>
      </c>
      <c r="C9788">
        <v>2195000</v>
      </c>
      <c r="D9788">
        <v>19366</v>
      </c>
    </row>
    <row r="9789" spans="1:4" x14ac:dyDescent="0.25">
      <c r="A9789" t="str">
        <f>T("   700529")</f>
        <v xml:space="preserve">   700529</v>
      </c>
      <c r="B9789" t="s">
        <v>318</v>
      </c>
      <c r="C9789">
        <v>900000</v>
      </c>
      <c r="D9789">
        <v>8070</v>
      </c>
    </row>
    <row r="9790" spans="1:4" x14ac:dyDescent="0.25">
      <c r="A9790" t="str">
        <f>T("   700711")</f>
        <v xml:space="preserve">   700711</v>
      </c>
      <c r="B9790" t="str">
        <f>T("   VERRES TREMPÉS DE DIMENSIONS ET FORMATS PERMETTANT LEUR EMPLOI DANS LES AUTOMOBILES, VÉHICULES AÉRIENS, BATEAUX OU AUTRES VÉHICULES [01/01/1988-31/12/1988: VERRES TREMPES, -DE SECURITE-, POUR AUTOMOBILES, AERODYNES, BATEAUX OU AUTRES VÉHICULES]")</f>
        <v xml:space="preserve">   VERRES TREMPÉS DE DIMENSIONS ET FORMATS PERMETTANT LEUR EMPLOI DANS LES AUTOMOBILES, VÉHICULES AÉRIENS, BATEAUX OU AUTRES VÉHICULES [01/01/1988-31/12/1988: VERRES TREMPES, -DE SECURITE-, POUR AUTOMOBILES, AERODYNES, BATEAUX OU AUTRES VÉHICULES]</v>
      </c>
      <c r="C9790">
        <v>27012</v>
      </c>
      <c r="D9790">
        <v>35</v>
      </c>
    </row>
    <row r="9791" spans="1:4" x14ac:dyDescent="0.25">
      <c r="A9791" t="str">
        <f>T("   700991")</f>
        <v xml:space="preserve">   700991</v>
      </c>
      <c r="B9791" t="str">
        <f>T("   Miroirs en verre non encadrés (sauf miroirs rétroviseurs pour véhicules, miroirs optiques, optiquement travaillés et miroirs de plus de 100 ans)")</f>
        <v xml:space="preserve">   Miroirs en verre non encadrés (sauf miroirs rétroviseurs pour véhicules, miroirs optiques, optiquement travaillés et miroirs de plus de 100 ans)</v>
      </c>
      <c r="C9791">
        <v>172879</v>
      </c>
      <c r="D9791">
        <v>860</v>
      </c>
    </row>
    <row r="9792" spans="1:4" x14ac:dyDescent="0.25">
      <c r="A9792" t="str">
        <f>T("   700992")</f>
        <v xml:space="preserve">   700992</v>
      </c>
      <c r="B9792" t="str">
        <f>T("   Miroirs, en verre encadrés (sauf miroirs rétroviseurs pour véhicules)")</f>
        <v xml:space="preserve">   Miroirs, en verre encadrés (sauf miroirs rétroviseurs pour véhicules)</v>
      </c>
      <c r="C9792">
        <v>464091</v>
      </c>
      <c r="D9792">
        <v>2991</v>
      </c>
    </row>
    <row r="9793" spans="1:4" x14ac:dyDescent="0.25">
      <c r="A9793" t="str">
        <f>T("   701010")</f>
        <v xml:space="preserve">   701010</v>
      </c>
      <c r="B9793" t="str">
        <f>T("   AMPOULES EN VERRE")</f>
        <v xml:space="preserve">   AMPOULES EN VERRE</v>
      </c>
      <c r="C9793">
        <v>12376025</v>
      </c>
      <c r="D9793">
        <v>29800</v>
      </c>
    </row>
    <row r="9794" spans="1:4" x14ac:dyDescent="0.25">
      <c r="A9794" t="str">
        <f>T("   701090")</f>
        <v xml:space="preserve">   701090</v>
      </c>
      <c r="B9794" t="s">
        <v>323</v>
      </c>
      <c r="C9794">
        <v>1226722</v>
      </c>
      <c r="D9794">
        <v>2800</v>
      </c>
    </row>
    <row r="9795" spans="1:4" x14ac:dyDescent="0.25">
      <c r="A9795" t="str">
        <f>T("   701091")</f>
        <v xml:space="preserve">   701091</v>
      </c>
      <c r="B9795" t="s">
        <v>324</v>
      </c>
      <c r="C9795">
        <v>43635</v>
      </c>
      <c r="D9795">
        <v>500</v>
      </c>
    </row>
    <row r="9796" spans="1:4" x14ac:dyDescent="0.25">
      <c r="A9796" t="str">
        <f>T("   701092")</f>
        <v xml:space="preserve">   701092</v>
      </c>
      <c r="B9796" t="s">
        <v>325</v>
      </c>
      <c r="C9796">
        <v>58185</v>
      </c>
      <c r="D9796">
        <v>320</v>
      </c>
    </row>
    <row r="9797" spans="1:4" x14ac:dyDescent="0.25">
      <c r="A9797" t="str">
        <f>T("   701110")</f>
        <v xml:space="preserve">   701110</v>
      </c>
      <c r="B9797" t="str">
        <f>T("   Ampoules en verre, ouvertes, et enveloppes tubulaires en verre, ouvertes, et leurs parties en verre, sans garnitures, pour l'éclairage électrique")</f>
        <v xml:space="preserve">   Ampoules en verre, ouvertes, et enveloppes tubulaires en verre, ouvertes, et leurs parties en verre, sans garnitures, pour l'éclairage électrique</v>
      </c>
      <c r="C9797">
        <v>3930000</v>
      </c>
      <c r="D9797">
        <v>15860</v>
      </c>
    </row>
    <row r="9798" spans="1:4" x14ac:dyDescent="0.25">
      <c r="A9798" t="str">
        <f>T("   701329")</f>
        <v xml:space="preserve">   701329</v>
      </c>
      <c r="B9798" t="str">
        <f>T("   Verres à boire (autres qu'en vitrocérame, autres qu'en cristal au plomb)")</f>
        <v xml:space="preserve">   Verres à boire (autres qu'en vitrocérame, autres qu'en cristal au plomb)</v>
      </c>
      <c r="C9798">
        <v>772845</v>
      </c>
      <c r="D9798">
        <v>1368.21</v>
      </c>
    </row>
    <row r="9799" spans="1:4" x14ac:dyDescent="0.25">
      <c r="A9799" t="str">
        <f>T("   701690")</f>
        <v xml:space="preserve">   701690</v>
      </c>
      <c r="B9799" t="s">
        <v>330</v>
      </c>
      <c r="C9799">
        <v>1100000</v>
      </c>
      <c r="D9799">
        <v>4280</v>
      </c>
    </row>
    <row r="9800" spans="1:4" x14ac:dyDescent="0.25">
      <c r="A9800" t="str">
        <f>T("   701939")</f>
        <v xml:space="preserve">   701939</v>
      </c>
      <c r="B9800" t="str">
        <f>T("   Nappes, matelas, panneaux et produits simil., non tissés, de fibres de verre (à l'excl. des mats et des voiles)")</f>
        <v xml:space="preserve">   Nappes, matelas, panneaux et produits simil., non tissés, de fibres de verre (à l'excl. des mats et des voiles)</v>
      </c>
      <c r="C9800">
        <v>194489</v>
      </c>
      <c r="D9800">
        <v>420</v>
      </c>
    </row>
    <row r="9801" spans="1:4" x14ac:dyDescent="0.25">
      <c r="A9801" t="str">
        <f>T("   720839")</f>
        <v xml:space="preserve">   720839</v>
      </c>
      <c r="B9801" t="str">
        <f>T("   PRODUITS LAMINÉS PLATS, EN FER OU EN ACIERS NON ALLIÉS, D'UNE LARGEUR &gt;= 600 MM, ENROULÉS, SIMPLEMENT LAMINÉS À CHAUD, NON PLAQUÉS NI REVÊTUS, ÉPAISSEUR &lt; 3 MM (SANS MOTIFS EN RELIEF, ET AUTRES QUE DÉCAPÉS)")</f>
        <v xml:space="preserve">   PRODUITS LAMINÉS PLATS, EN FER OU EN ACIERS NON ALLIÉS, D'UNE LARGEUR &gt;= 600 MM, ENROULÉS, SIMPLEMENT LAMINÉS À CHAUD, NON PLAQUÉS NI REVÊTUS, ÉPAISSEUR &lt; 3 MM (SANS MOTIFS EN RELIEF, ET AUTRES QUE DÉCAPÉS)</v>
      </c>
      <c r="C9801">
        <v>108559891</v>
      </c>
      <c r="D9801">
        <v>285002</v>
      </c>
    </row>
    <row r="9802" spans="1:4" x14ac:dyDescent="0.25">
      <c r="A9802" t="str">
        <f>T("   720854")</f>
        <v xml:space="preserve">   720854</v>
      </c>
      <c r="B9802" t="str">
        <f>T("   PRODUITS LAMINÉS PLATS, EN FER OU EN ACIER NON ALLIÉS, D'UNE LARGEUR &gt;= 600 MM, NON ENROULÉS, SIMPLEMENT LAMINÉS À CHAUD, NON PLAQUÉS NI REVÊTUS, ÉPAISSEUR &lt; 3 MM (SANS MOTIFS EN RELIEF)")</f>
        <v xml:space="preserve">   PRODUITS LAMINÉS PLATS, EN FER OU EN ACIER NON ALLIÉS, D'UNE LARGEUR &gt;= 600 MM, NON ENROULÉS, SIMPLEMENT LAMINÉS À CHAUD, NON PLAQUÉS NI REVÊTUS, ÉPAISSEUR &lt; 3 MM (SANS MOTIFS EN RELIEF)</v>
      </c>
      <c r="C9802">
        <v>110518268</v>
      </c>
      <c r="D9802">
        <v>250000</v>
      </c>
    </row>
    <row r="9803" spans="1:4" x14ac:dyDescent="0.25">
      <c r="A9803" t="str">
        <f>T("   720917")</f>
        <v xml:space="preserve">   720917</v>
      </c>
      <c r="B9803" t="str">
        <f>T("   PRODUITS LAMINÉS PLATS, EN FER OU EN ACIERS NON-ALLIÉS, D'UNE LARGEUR &gt;= 600 MM, NON-PLAQUÉS NI REVÊTUS, ENROULÉS, SIMPL. LAMINÉS À FROID, D'UNE ÉPAISSEUR &gt;= 0,5 MM MAIS &lt;= 1 MM")</f>
        <v xml:space="preserve">   PRODUITS LAMINÉS PLATS, EN FER OU EN ACIERS NON-ALLIÉS, D'UNE LARGEUR &gt;= 600 MM, NON-PLAQUÉS NI REVÊTUS, ENROULÉS, SIMPL. LAMINÉS À FROID, D'UNE ÉPAISSEUR &gt;= 0,5 MM MAIS &lt;= 1 MM</v>
      </c>
      <c r="C9803">
        <v>755049974</v>
      </c>
      <c r="D9803">
        <v>2047590</v>
      </c>
    </row>
    <row r="9804" spans="1:4" x14ac:dyDescent="0.25">
      <c r="A9804" t="str">
        <f>T("   720927")</f>
        <v xml:space="preserve">   720927</v>
      </c>
      <c r="B9804" t="str">
        <f>T("   PRODUITS LAMINÉS PLATS, EN FER OU EN ACIERS NON-ALLIÉS, D'UNE LARGEUR &gt;= 600 MM, NON-PLAQUÉS NI REVÊTUS, NON-ENROULÉS, SIMPL. LAMINÉS À FROID, D'UNE ÉPAISSEUR &gt;= 0,5 MM MAIS &lt;= 1 MM")</f>
        <v xml:space="preserve">   PRODUITS LAMINÉS PLATS, EN FER OU EN ACIERS NON-ALLIÉS, D'UNE LARGEUR &gt;= 600 MM, NON-PLAQUÉS NI REVÊTUS, NON-ENROULÉS, SIMPL. LAMINÉS À FROID, D'UNE ÉPAISSEUR &gt;= 0,5 MM MAIS &lt;= 1 MM</v>
      </c>
      <c r="C9804">
        <v>76973610</v>
      </c>
      <c r="D9804">
        <v>302050</v>
      </c>
    </row>
    <row r="9805" spans="1:4" x14ac:dyDescent="0.25">
      <c r="A9805" t="str">
        <f>T("   720990")</f>
        <v xml:space="preserve">   720990</v>
      </c>
      <c r="B9805" t="str">
        <f>T("   PRODUITS LAMINÉS PLATS, EN FER OU EN ACIER, D'UNE LARGEUR &gt;= 600 MM, LAMINÉS À FROID ET AYANT SUBI CERTAINES OUVRAISONS PLUS POUSSÉES, MAIS NON-PLAQUÉS NI REVÊTUS")</f>
        <v xml:space="preserve">   PRODUITS LAMINÉS PLATS, EN FER OU EN ACIER, D'UNE LARGEUR &gt;= 600 MM, LAMINÉS À FROID ET AYANT SUBI CERTAINES OUVRAISONS PLUS POUSSÉES, MAIS NON-PLAQUÉS NI REVÊTUS</v>
      </c>
      <c r="C9805">
        <v>383764</v>
      </c>
      <c r="D9805">
        <v>4050</v>
      </c>
    </row>
    <row r="9806" spans="1:4" x14ac:dyDescent="0.25">
      <c r="A9806" t="str">
        <f>T("   721041")</f>
        <v xml:space="preserve">   721041</v>
      </c>
      <c r="B9806" t="str">
        <f>T("   Produits laminés plats, en fer ou en aciers non alliés, d'une largeur &gt;= 600 mm, laminés à chaud ou à froid, zingués, ondulés (à l'excl. des produits zingués électrolytiquement)")</f>
        <v xml:space="preserve">   Produits laminés plats, en fer ou en aciers non alliés, d'une largeur &gt;= 600 mm, laminés à chaud ou à froid, zingués, ondulés (à l'excl. des produits zingués électrolytiquement)</v>
      </c>
      <c r="C9806">
        <v>2201949553</v>
      </c>
      <c r="D9806">
        <v>5370450</v>
      </c>
    </row>
    <row r="9807" spans="1:4" x14ac:dyDescent="0.25">
      <c r="A9807" t="str">
        <f>T("   721049")</f>
        <v xml:space="preserve">   721049</v>
      </c>
      <c r="B9807" t="str">
        <f>T("   Produits laminés plats, en fer ou en aciers non alliés, d'une largeur &gt;= 600 mm, laminés à chaud ou à froid, zingués, non ondulés (à l'excl. des produits zingués électrolytiquement)")</f>
        <v xml:space="preserve">   Produits laminés plats, en fer ou en aciers non alliés, d'une largeur &gt;= 600 mm, laminés à chaud ou à froid, zingués, non ondulés (à l'excl. des produits zingués électrolytiquement)</v>
      </c>
      <c r="C9807">
        <v>168455643</v>
      </c>
      <c r="D9807">
        <v>398005</v>
      </c>
    </row>
    <row r="9808" spans="1:4" x14ac:dyDescent="0.25">
      <c r="A9808" t="str">
        <f>T("   721391")</f>
        <v xml:space="preserve">   721391</v>
      </c>
      <c r="B9808" t="str">
        <f>T("   FIL MACHINE EN FER OU ACIERS NON-ALLIÉS, ENROULÉ EN COURONNES IRRÉGULIÈRES, DE SECTION CIRCULAIRE DE DIAMÈTRE &lt; 14 MM (AUTRE QU'EN ACIERS DE DÉCOLLETAGE ET AUTRE QUE FIL MACHINE AVEC INDENTATIONS, BOURRELETS, CREUX OU RELIEFS OBTENUS LORS DU LAMINAGE)")</f>
        <v xml:space="preserve">   FIL MACHINE EN FER OU ACIERS NON-ALLIÉS, ENROULÉ EN COURONNES IRRÉGULIÈRES, DE SECTION CIRCULAIRE DE DIAMÈTRE &lt; 14 MM (AUTRE QU'EN ACIERS DE DÉCOLLETAGE ET AUTRE QUE FIL MACHINE AVEC INDENTATIONS, BOURRELETS, CREUX OU RELIEFS OBTENUS LORS DU LAMINAGE)</v>
      </c>
      <c r="C9808">
        <v>6660814</v>
      </c>
      <c r="D9808">
        <v>16880</v>
      </c>
    </row>
    <row r="9809" spans="1:4" x14ac:dyDescent="0.25">
      <c r="A9809" t="str">
        <f>T("   721420")</f>
        <v xml:space="preserve">   721420</v>
      </c>
      <c r="B9809" t="str">
        <f>T("   BARRES EN FER OU EN ACIERS NON ALLIÉS, COMPORTANT DES INDENTATIONS, BOURRELETS, CREUX OU RELIEFS OBTENUS AU COURS DU LAMINAGE OU AYANT SUBI UNE TORSION APRÈS LAMINAGE")</f>
        <v xml:space="preserve">   BARRES EN FER OU EN ACIERS NON ALLIÉS, COMPORTANT DES INDENTATIONS, BOURRELETS, CREUX OU RELIEFS OBTENUS AU COURS DU LAMINAGE OU AYANT SUBI UNE TORSION APRÈS LAMINAGE</v>
      </c>
      <c r="C9809">
        <v>400973822</v>
      </c>
      <c r="D9809">
        <v>1252160</v>
      </c>
    </row>
    <row r="9810" spans="1:4" x14ac:dyDescent="0.25">
      <c r="A9810" t="str">
        <f>T("   721590")</f>
        <v xml:space="preserve">   721590</v>
      </c>
      <c r="B9810" t="str">
        <f>T("   Barres en fer ou en aciers non alliés, obtenues ou parachevées à froid et ayant subi certaines ouvraisons plus poussées ou obtenues à chaud et ayant subi certaines ouvraisons plus poussées, n.d.a.")</f>
        <v xml:space="preserve">   Barres en fer ou en aciers non alliés, obtenues ou parachevées à froid et ayant subi certaines ouvraisons plus poussées ou obtenues à chaud et ayant subi certaines ouvraisons plus poussées, n.d.a.</v>
      </c>
      <c r="C9810">
        <v>20673105</v>
      </c>
      <c r="D9810">
        <v>85000</v>
      </c>
    </row>
    <row r="9811" spans="1:4" x14ac:dyDescent="0.25">
      <c r="A9811" t="str">
        <f>T("   721622")</f>
        <v xml:space="preserve">   721622</v>
      </c>
      <c r="B9811" t="str">
        <f>T("   PROFILÉS EN T EN FER OU ACIERS NON ALLIÉS, SIMPLEMENT LAMINÉS OU FILÉS À CHAUD, HAUTEUR &lt; 80 MM")</f>
        <v xml:space="preserve">   PROFILÉS EN T EN FER OU ACIERS NON ALLIÉS, SIMPLEMENT LAMINÉS OU FILÉS À CHAUD, HAUTEUR &lt; 80 MM</v>
      </c>
      <c r="C9811">
        <v>6038247</v>
      </c>
      <c r="D9811">
        <v>8174</v>
      </c>
    </row>
    <row r="9812" spans="1:4" x14ac:dyDescent="0.25">
      <c r="A9812" t="str">
        <f>T("   721650")</f>
        <v xml:space="preserve">   721650</v>
      </c>
      <c r="B9812" t="str">
        <f>T("   PROFILÉS, EN FER OU EN ACIERS NON-ALLIÉS, SIMPL. LAMINÉS OU FILÉS À CHAUD (À L'EXCL. DES PROFILÉS EN U, EN I, EN H, EN L OU EN T)")</f>
        <v xml:space="preserve">   PROFILÉS, EN FER OU EN ACIERS NON-ALLIÉS, SIMPL. LAMINÉS OU FILÉS À CHAUD (À L'EXCL. DES PROFILÉS EN U, EN I, EN H, EN L OU EN T)</v>
      </c>
      <c r="C9812">
        <v>16640000</v>
      </c>
      <c r="D9812">
        <v>65000</v>
      </c>
    </row>
    <row r="9813" spans="1:4" x14ac:dyDescent="0.25">
      <c r="A9813" t="str">
        <f>T("   721661")</f>
        <v xml:space="preserve">   721661</v>
      </c>
      <c r="B9813" t="str">
        <f>T("   PROFILÉS EN FER OU ACIERS NON-ALLIÉS, SIMPL. OBTENUS À FROID À PARTIR DE PRODUITS LAMINÉS PLATS (À L'EXCL. DES TÔLES NERVURÉES)")</f>
        <v xml:space="preserve">   PROFILÉS EN FER OU ACIERS NON-ALLIÉS, SIMPL. OBTENUS À FROID À PARTIR DE PRODUITS LAMINÉS PLATS (À L'EXCL. DES TÔLES NERVURÉES)</v>
      </c>
      <c r="C9813">
        <v>187311123</v>
      </c>
      <c r="D9813">
        <v>445250</v>
      </c>
    </row>
    <row r="9814" spans="1:4" x14ac:dyDescent="0.25">
      <c r="A9814" t="str">
        <f>T("   721669")</f>
        <v xml:space="preserve">   721669</v>
      </c>
      <c r="B9814" t="str">
        <f>T("   Profilés en fer ou en aciers non alliés, simplement obtenus ou parachevés à froid (à l'excl. des profilés obtenus à partir de produits laminés plats et des tôles nervurées)")</f>
        <v xml:space="preserve">   Profilés en fer ou en aciers non alliés, simplement obtenus ou parachevés à froid (à l'excl. des profilés obtenus à partir de produits laminés plats et des tôles nervurées)</v>
      </c>
      <c r="C9814">
        <v>21404494</v>
      </c>
      <c r="D9814">
        <v>96750</v>
      </c>
    </row>
    <row r="9815" spans="1:4" x14ac:dyDescent="0.25">
      <c r="A9815" t="str">
        <f>T("   721710")</f>
        <v xml:space="preserve">   721710</v>
      </c>
      <c r="B9815" t="str">
        <f>T("   FILS EN FER OU EN ACIERS NON-ALLIÉS, ENROULÉS, NON-REVÊTUS, MÊME POLIS (À L'EXCL. DU FIL MACHINE)")</f>
        <v xml:space="preserve">   FILS EN FER OU EN ACIERS NON-ALLIÉS, ENROULÉS, NON-REVÊTUS, MÊME POLIS (À L'EXCL. DU FIL MACHINE)</v>
      </c>
      <c r="C9815">
        <v>1102348</v>
      </c>
      <c r="D9815">
        <v>900</v>
      </c>
    </row>
    <row r="9816" spans="1:4" x14ac:dyDescent="0.25">
      <c r="A9816" t="str">
        <f>T("   721720")</f>
        <v xml:space="preserve">   721720</v>
      </c>
      <c r="B9816" t="str">
        <f>T("   FILS EN FER OU EN ACIERS NON-ALLIÉS, ENROULÉS, ZINGUÉS (À L'EXCL. DU FIL MACHINE)")</f>
        <v xml:space="preserve">   FILS EN FER OU EN ACIERS NON-ALLIÉS, ENROULÉS, ZINGUÉS (À L'EXCL. DU FIL MACHINE)</v>
      </c>
      <c r="C9816">
        <v>63311523</v>
      </c>
      <c r="D9816">
        <v>160000</v>
      </c>
    </row>
    <row r="9817" spans="1:4" x14ac:dyDescent="0.25">
      <c r="A9817" t="str">
        <f>T("   721790")</f>
        <v xml:space="preserve">   721790</v>
      </c>
      <c r="B9817" t="str">
        <f>T("   FILS EN FER OU EN ACIERS NON-ALLIÉS, ENROULÉS, REVÊTUS (À L'EXCL. DU FIL MACHINE AINSI QUE DES FILS REVÊTUS DE MÉTAUX COMMUNS)")</f>
        <v xml:space="preserve">   FILS EN FER OU EN ACIERS NON-ALLIÉS, ENROULÉS, REVÊTUS (À L'EXCL. DU FIL MACHINE AINSI QUE DES FILS REVÊTUS DE MÉTAUX COMMUNS)</v>
      </c>
      <c r="C9817">
        <v>62187168</v>
      </c>
      <c r="D9817">
        <v>105000</v>
      </c>
    </row>
    <row r="9818" spans="1:4" x14ac:dyDescent="0.25">
      <c r="A9818" t="str">
        <f>T("   721810")</f>
        <v xml:space="preserve">   721810</v>
      </c>
      <c r="B9818" t="str">
        <f>T("   ACIERS INOXYDABLES EN LINGOTS ET AUTRES FORMES PRIMAIRES (SAUF DÉCHETS LINGOTÉS ET PRODUITS OBTENUS PAR COULÉE CONTINUE)")</f>
        <v xml:space="preserve">   ACIERS INOXYDABLES EN LINGOTS ET AUTRES FORMES PRIMAIRES (SAUF DÉCHETS LINGOTÉS ET PRODUITS OBTENUS PAR COULÉE CONTINUE)</v>
      </c>
      <c r="C9818">
        <v>736314</v>
      </c>
      <c r="D9818">
        <v>710</v>
      </c>
    </row>
    <row r="9819" spans="1:4" x14ac:dyDescent="0.25">
      <c r="A9819" t="str">
        <f>T("   722300")</f>
        <v xml:space="preserve">   722300</v>
      </c>
      <c r="B9819" t="str">
        <f>T("   Fils en aciers inoxydables, en couronnes ou rouleaux (autres que fil machine)")</f>
        <v xml:space="preserve">   Fils en aciers inoxydables, en couronnes ou rouleaux (autres que fil machine)</v>
      </c>
      <c r="C9819">
        <v>26550993</v>
      </c>
      <c r="D9819">
        <v>35000</v>
      </c>
    </row>
    <row r="9820" spans="1:4" x14ac:dyDescent="0.25">
      <c r="A9820" t="str">
        <f>T("   730120")</f>
        <v xml:space="preserve">   730120</v>
      </c>
      <c r="B9820" t="str">
        <f>T("   Profilés en fer ou en acier, obtenus par soudage")</f>
        <v xml:space="preserve">   Profilés en fer ou en acier, obtenus par soudage</v>
      </c>
      <c r="C9820">
        <v>1201529</v>
      </c>
      <c r="D9820">
        <v>1500</v>
      </c>
    </row>
    <row r="9821" spans="1:4" x14ac:dyDescent="0.25">
      <c r="A9821" t="str">
        <f>T("   730429")</f>
        <v xml:space="preserve">   730429</v>
      </c>
      <c r="B9821" t="str">
        <f>T("   Tubes et tuyaux de cuvelage ou de production sans soudure, en fer (à l'excl. de la fonte) ou en acier, des types utilisés pour l'extraction du pétrole ou du gaz")</f>
        <v xml:space="preserve">   Tubes et tuyaux de cuvelage ou de production sans soudure, en fer (à l'excl. de la fonte) ou en acier, des types utilisés pour l'extraction du pétrole ou du gaz</v>
      </c>
      <c r="C9821">
        <v>3000000</v>
      </c>
      <c r="D9821">
        <v>21750</v>
      </c>
    </row>
    <row r="9822" spans="1:4" x14ac:dyDescent="0.25">
      <c r="A9822" t="str">
        <f>T("   730490")</f>
        <v xml:space="preserve">   730490</v>
      </c>
      <c r="B9822" t="str">
        <f>T("   Tubes, tuyaux et profilés creux, sans soudure, de section autre que circulaire, en fer (à l'excl. de la fonte) ou en acier")</f>
        <v xml:space="preserve">   Tubes, tuyaux et profilés creux, sans soudure, de section autre que circulaire, en fer (à l'excl. de la fonte) ou en acier</v>
      </c>
      <c r="C9822">
        <v>21846</v>
      </c>
      <c r="D9822">
        <v>120</v>
      </c>
    </row>
    <row r="9823" spans="1:4" x14ac:dyDescent="0.25">
      <c r="A9823" t="str">
        <f>T("   730520")</f>
        <v xml:space="preserve">   730520</v>
      </c>
      <c r="B9823" t="str">
        <f>T("   Tubes et tuyaux de cuvelage des types utilisés pour l'extraction du pétrole ou du gaz, de section circulaire, d'un diamètre extérieur &gt; 406,4 mm, en produits laminés plats en fer ou en acier")</f>
        <v xml:space="preserve">   Tubes et tuyaux de cuvelage des types utilisés pour l'extraction du pétrole ou du gaz, de section circulaire, d'un diamètre extérieur &gt; 406,4 mm, en produits laminés plats en fer ou en acier</v>
      </c>
      <c r="C9823">
        <v>537150</v>
      </c>
      <c r="D9823">
        <v>1993</v>
      </c>
    </row>
    <row r="9824" spans="1:4" x14ac:dyDescent="0.25">
      <c r="A9824" t="str">
        <f>T("   730630")</f>
        <v xml:space="preserve">   730630</v>
      </c>
      <c r="B9824" t="s">
        <v>345</v>
      </c>
      <c r="C9824">
        <v>57858533</v>
      </c>
      <c r="D9824">
        <v>157500</v>
      </c>
    </row>
    <row r="9825" spans="1:4" x14ac:dyDescent="0.25">
      <c r="A9825" t="str">
        <f>T("   730640")</f>
        <v xml:space="preserve">   730640</v>
      </c>
      <c r="B9825" t="s">
        <v>346</v>
      </c>
      <c r="C9825">
        <v>8551340</v>
      </c>
      <c r="D9825">
        <v>18160</v>
      </c>
    </row>
    <row r="9826" spans="1:4" x14ac:dyDescent="0.25">
      <c r="A9826" t="str">
        <f>T("   730660")</f>
        <v xml:space="preserve">   730660</v>
      </c>
      <c r="B9826" t="s">
        <v>348</v>
      </c>
      <c r="C9826">
        <v>127781521</v>
      </c>
      <c r="D9826">
        <v>292100</v>
      </c>
    </row>
    <row r="9827" spans="1:4" x14ac:dyDescent="0.25">
      <c r="A9827" t="str">
        <f>T("   730690")</f>
        <v xml:space="preserve">   730690</v>
      </c>
      <c r="B9827" t="str">
        <f>T("   Tubes, tuyaux et profilés creux [p.ex. rivés, agrafés ou à bords simplement rapprochés], en fer ou en acier (sauf tubes sans soudure ou soudés et tubes de sections intérieure et extérieure circulaires et d'un diamètre extérieur &gt; 406,4 mm)")</f>
        <v xml:space="preserve">   Tubes, tuyaux et profilés creux [p.ex. rivés, agrafés ou à bords simplement rapprochés], en fer ou en acier (sauf tubes sans soudure ou soudés et tubes de sections intérieure et extérieure circulaires et d'un diamètre extérieur &gt; 406,4 mm)</v>
      </c>
      <c r="C9827">
        <v>31089823</v>
      </c>
      <c r="D9827">
        <v>85000</v>
      </c>
    </row>
    <row r="9828" spans="1:4" x14ac:dyDescent="0.25">
      <c r="A9828" t="str">
        <f>T("   730830")</f>
        <v xml:space="preserve">   730830</v>
      </c>
      <c r="B9828" t="str">
        <f>T("   Portes, fenêtres et leurs cadres et chambranles ainsi que leurs seuils, en fer ou en acier")</f>
        <v xml:space="preserve">   Portes, fenêtres et leurs cadres et chambranles ainsi que leurs seuils, en fer ou en acier</v>
      </c>
      <c r="C9828">
        <v>1500000</v>
      </c>
      <c r="D9828">
        <v>8910</v>
      </c>
    </row>
    <row r="9829" spans="1:4" x14ac:dyDescent="0.25">
      <c r="A9829" t="str">
        <f>T("   730840")</f>
        <v xml:space="preserve">   730840</v>
      </c>
      <c r="B9829" t="str">
        <f>T("   Matériel d'échafaudage, de coffrage ou d'étayage, en fer ou en acier (autre que palplanches assemblées et coffrages pour béton, qui présentent les caractéristiques de moules)")</f>
        <v xml:space="preserve">   Matériel d'échafaudage, de coffrage ou d'étayage, en fer ou en acier (autre que palplanches assemblées et coffrages pour béton, qui présentent les caractéristiques de moules)</v>
      </c>
      <c r="C9829">
        <v>179050</v>
      </c>
      <c r="D9829">
        <v>1130</v>
      </c>
    </row>
    <row r="9830" spans="1:4" x14ac:dyDescent="0.25">
      <c r="A9830" t="str">
        <f>T("   730890")</f>
        <v xml:space="preserve">   730890</v>
      </c>
      <c r="B9830" t="s">
        <v>349</v>
      </c>
      <c r="C9830">
        <v>24224000</v>
      </c>
      <c r="D9830">
        <v>85900</v>
      </c>
    </row>
    <row r="9831" spans="1:4" x14ac:dyDescent="0.25">
      <c r="A9831" t="str">
        <f>T("   730900")</f>
        <v xml:space="preserve">   730900</v>
      </c>
      <c r="B9831" t="s">
        <v>350</v>
      </c>
      <c r="C9831">
        <v>1418082</v>
      </c>
      <c r="D9831">
        <v>1740</v>
      </c>
    </row>
    <row r="9832" spans="1:4" x14ac:dyDescent="0.25">
      <c r="A9832" t="str">
        <f>T("   731021")</f>
        <v xml:space="preserve">   731021</v>
      </c>
      <c r="B9832" t="str">
        <f>T("   Boîtes en fer ou en acier, contenance &lt; 50 l, à fermer par soudage ou sertissage (sauf pour gaz comprimés ou liquéfiés)")</f>
        <v xml:space="preserve">   Boîtes en fer ou en acier, contenance &lt; 50 l, à fermer par soudage ou sertissage (sauf pour gaz comprimés ou liquéfiés)</v>
      </c>
      <c r="C9832">
        <v>118849</v>
      </c>
      <c r="D9832">
        <v>200</v>
      </c>
    </row>
    <row r="9833" spans="1:4" x14ac:dyDescent="0.25">
      <c r="A9833" t="str">
        <f>T("   731029")</f>
        <v xml:space="preserve">   731029</v>
      </c>
      <c r="B9833" t="str">
        <f>T("   Réservoirs, fûts, tambours, bidons et récipients simil., en fer ou en acier, pour toutes matières, contenance &lt; 50 l, n.d.a. (sauf pour gaz comprimés ou liquéfiés, sans dispositifs mécaniques ou thermiques et à l'excl. des boîtes)")</f>
        <v xml:space="preserve">   Réservoirs, fûts, tambours, bidons et récipients simil., en fer ou en acier, pour toutes matières, contenance &lt; 50 l, n.d.a. (sauf pour gaz comprimés ou liquéfiés, sans dispositifs mécaniques ou thermiques et à l'excl. des boîtes)</v>
      </c>
      <c r="C9833">
        <v>573852</v>
      </c>
      <c r="D9833">
        <v>3580</v>
      </c>
    </row>
    <row r="9834" spans="1:4" x14ac:dyDescent="0.25">
      <c r="A9834" t="str">
        <f>T("   731100")</f>
        <v xml:space="preserve">   731100</v>
      </c>
      <c r="B9834" t="str">
        <f>T("   Récipients en fonte, fer ou acier, pour gaz comprimés ou liquéfiés (autres que conteneurs spécialement conçus ou équipés pour un ou plusieurs moyens de transport)")</f>
        <v xml:space="preserve">   Récipients en fonte, fer ou acier, pour gaz comprimés ou liquéfiés (autres que conteneurs spécialement conçus ou équipés pour un ou plusieurs moyens de transport)</v>
      </c>
      <c r="C9834">
        <v>54486876</v>
      </c>
      <c r="D9834">
        <v>43880</v>
      </c>
    </row>
    <row r="9835" spans="1:4" x14ac:dyDescent="0.25">
      <c r="A9835" t="str">
        <f>T("   731411")</f>
        <v xml:space="preserve">   731411</v>
      </c>
      <c r="B9835" t="str">
        <f>T("   PRODUITS TISSÉS -TOILES METALLIQUES-, Y.C. -LES TOILES CONTINUES OU SANS FIN- EN FILS D'ACIER INOXYDABLES (À L'EXCL. DES TOILES EN FILS METALLIQUES DES TYPES UTILISÉS POUR REVÊTEMENTS, AMÉNAGEMENTS INTERIEURS ET USAGES SIMILAIRES)")</f>
        <v xml:space="preserve">   PRODUITS TISSÉS -TOILES METALLIQUES-, Y.C. -LES TOILES CONTINUES OU SANS FIN- EN FILS D'ACIER INOXYDABLES (À L'EXCL. DES TOILES EN FILS METALLIQUES DES TYPES UTILISÉS POUR REVÊTEMENTS, AMÉNAGEMENTS INTERIEURS ET USAGES SIMILAIRES)</v>
      </c>
      <c r="C9835">
        <v>218462</v>
      </c>
      <c r="D9835">
        <v>200</v>
      </c>
    </row>
    <row r="9836" spans="1:4" x14ac:dyDescent="0.25">
      <c r="A9836" t="str">
        <f>T("   731420")</f>
        <v xml:space="preserve">   731420</v>
      </c>
      <c r="B9836" t="str">
        <f>T("   Grillages et treillis, soudés aux points de rencontre, d'une surface de mailles &gt;= 100 cm², en fils de fer ou d'acier, dont la plus grande dimension de la coupe transversale est &gt;= 3 mm")</f>
        <v xml:space="preserve">   Grillages et treillis, soudés aux points de rencontre, d'une surface de mailles &gt;= 100 cm², en fils de fer ou d'acier, dont la plus grande dimension de la coupe transversale est &gt;= 3 mm</v>
      </c>
      <c r="C9836">
        <v>19100000</v>
      </c>
      <c r="D9836">
        <v>85360</v>
      </c>
    </row>
    <row r="9837" spans="1:4" x14ac:dyDescent="0.25">
      <c r="A9837" t="str">
        <f>T("   731449")</f>
        <v xml:space="preserve">   731449</v>
      </c>
      <c r="B9837" t="str">
        <f>T("   Toiles métalliques nontissées, grillages et treillis, en fils de fer ou d'acier, non soudés aux points de rencontre (sauf zingués ou recouverts de matières plastiques)")</f>
        <v xml:space="preserve">   Toiles métalliques nontissées, grillages et treillis, en fils de fer ou d'acier, non soudés aux points de rencontre (sauf zingués ou recouverts de matières plastiques)</v>
      </c>
      <c r="C9837">
        <v>423072</v>
      </c>
      <c r="D9837">
        <v>1516</v>
      </c>
    </row>
    <row r="9838" spans="1:4" x14ac:dyDescent="0.25">
      <c r="A9838" t="str">
        <f>T("   731450")</f>
        <v xml:space="preserve">   731450</v>
      </c>
      <c r="B9838" t="str">
        <f>T("   Tôles et bandes déployées en fer ou en acier")</f>
        <v xml:space="preserve">   Tôles et bandes déployées en fer ou en acier</v>
      </c>
      <c r="C9838">
        <v>71250092</v>
      </c>
      <c r="D9838">
        <v>281000</v>
      </c>
    </row>
    <row r="9839" spans="1:4" x14ac:dyDescent="0.25">
      <c r="A9839" t="str">
        <f>T("   731700")</f>
        <v xml:space="preserve">   731700</v>
      </c>
      <c r="B9839" t="str">
        <f>T("   Pointes, clous, punaises, crampons appointés, agrafes ondulées ou biseautées et articles simil., en fonte, fer ou acier, même avec tête en autre matière (à l'excl. de ceux avec tête en cuivre et à l'excl. des agrafes en barrettes)")</f>
        <v xml:space="preserve">   Pointes, clous, punaises, crampons appointés, agrafes ondulées ou biseautées et articles simil., en fonte, fer ou acier, même avec tête en autre matière (à l'excl. de ceux avec tête en cuivre et à l'excl. des agrafes en barrettes)</v>
      </c>
      <c r="C9839">
        <v>205259765</v>
      </c>
      <c r="D9839">
        <v>886297</v>
      </c>
    </row>
    <row r="9840" spans="1:4" x14ac:dyDescent="0.25">
      <c r="A9840" t="str">
        <f>T("   731815")</f>
        <v xml:space="preserve">   731815</v>
      </c>
      <c r="B9840" t="s">
        <v>354</v>
      </c>
      <c r="C9840">
        <v>384351</v>
      </c>
      <c r="D9840">
        <v>1581</v>
      </c>
    </row>
    <row r="9841" spans="1:4" x14ac:dyDescent="0.25">
      <c r="A9841" t="str">
        <f>T("   731910")</f>
        <v xml:space="preserve">   731910</v>
      </c>
      <c r="B9841" t="str">
        <f>T("   Aiguilles à coudre, à ravauder ou à broder à la main, en fer ou en acier")</f>
        <v xml:space="preserve">   Aiguilles à coudre, à ravauder ou à broder à la main, en fer ou en acier</v>
      </c>
      <c r="C9841">
        <v>629874</v>
      </c>
      <c r="D9841">
        <v>3300</v>
      </c>
    </row>
    <row r="9842" spans="1:4" x14ac:dyDescent="0.25">
      <c r="A9842" t="str">
        <f>T("   731930")</f>
        <v xml:space="preserve">   731930</v>
      </c>
      <c r="B9842" t="str">
        <f>T("   Autres épingles en fer ou en acier, n.d.a.")</f>
        <v xml:space="preserve">   Autres épingles en fer ou en acier, n.d.a.</v>
      </c>
      <c r="C9842">
        <v>2611106</v>
      </c>
      <c r="D9842">
        <v>22700</v>
      </c>
    </row>
    <row r="9843" spans="1:4" x14ac:dyDescent="0.25">
      <c r="A9843" t="str">
        <f>T("   732090")</f>
        <v xml:space="preserve">   732090</v>
      </c>
      <c r="B9843" t="s">
        <v>355</v>
      </c>
      <c r="C9843">
        <v>15292</v>
      </c>
      <c r="D9843">
        <v>35</v>
      </c>
    </row>
    <row r="9844" spans="1:4" x14ac:dyDescent="0.25">
      <c r="A9844" t="str">
        <f>T("   732111")</f>
        <v xml:space="preserve">   732111</v>
      </c>
      <c r="B9844" t="s">
        <v>356</v>
      </c>
      <c r="C9844">
        <v>8738205</v>
      </c>
      <c r="D9844">
        <v>13685</v>
      </c>
    </row>
    <row r="9845" spans="1:4" x14ac:dyDescent="0.25">
      <c r="A9845" t="str">
        <f>T("   732112")</f>
        <v xml:space="preserve">   732112</v>
      </c>
      <c r="B9845" t="s">
        <v>357</v>
      </c>
      <c r="C9845">
        <v>21846</v>
      </c>
      <c r="D9845">
        <v>100</v>
      </c>
    </row>
    <row r="9846" spans="1:4" x14ac:dyDescent="0.25">
      <c r="A9846" t="str">
        <f>T("   732310")</f>
        <v xml:space="preserve">   732310</v>
      </c>
      <c r="B9846" t="str">
        <f>T("   Paille de fer ou d'acier; éponges, torchons, gants et articles simil. pour le récurage, le polissage ou usages analogues, en fer ou acier")</f>
        <v xml:space="preserve">   Paille de fer ou d'acier; éponges, torchons, gants et articles simil. pour le récurage, le polissage ou usages analogues, en fer ou acier</v>
      </c>
      <c r="C9846">
        <v>7697466</v>
      </c>
      <c r="D9846">
        <v>36900</v>
      </c>
    </row>
    <row r="9847" spans="1:4" x14ac:dyDescent="0.25">
      <c r="A9847" t="str">
        <f>T("   732392")</f>
        <v xml:space="preserve">   732392</v>
      </c>
      <c r="B9847" t="s">
        <v>359</v>
      </c>
      <c r="C9847">
        <v>2070999</v>
      </c>
      <c r="D9847">
        <v>8173</v>
      </c>
    </row>
    <row r="9848" spans="1:4" x14ac:dyDescent="0.25">
      <c r="A9848" t="str">
        <f>T("   732393")</f>
        <v xml:space="preserve">   732393</v>
      </c>
      <c r="B9848" t="s">
        <v>360</v>
      </c>
      <c r="C9848">
        <v>21846</v>
      </c>
      <c r="D9848">
        <v>20</v>
      </c>
    </row>
    <row r="9849" spans="1:4" x14ac:dyDescent="0.25">
      <c r="A9849" t="str">
        <f>T("   732399")</f>
        <v xml:space="preserve">   732399</v>
      </c>
      <c r="B9849" t="s">
        <v>362</v>
      </c>
      <c r="C9849">
        <v>5835472</v>
      </c>
      <c r="D9849">
        <v>23401</v>
      </c>
    </row>
    <row r="9850" spans="1:4" x14ac:dyDescent="0.25">
      <c r="A9850" t="str">
        <f>T("   732429")</f>
        <v xml:space="preserve">   732429</v>
      </c>
      <c r="B9850" t="str">
        <f>T("   Baignoires en tôle d'acier")</f>
        <v xml:space="preserve">   Baignoires en tôle d'acier</v>
      </c>
      <c r="C9850">
        <v>109230</v>
      </c>
      <c r="D9850">
        <v>75</v>
      </c>
    </row>
    <row r="9851" spans="1:4" x14ac:dyDescent="0.25">
      <c r="A9851" t="str">
        <f>T("   732490")</f>
        <v xml:space="preserve">   732490</v>
      </c>
      <c r="B9851" t="s">
        <v>363</v>
      </c>
      <c r="C9851">
        <v>31189541</v>
      </c>
      <c r="D9851">
        <v>126869</v>
      </c>
    </row>
    <row r="9852" spans="1:4" x14ac:dyDescent="0.25">
      <c r="A9852" t="str">
        <f>T("   732599")</f>
        <v xml:space="preserve">   732599</v>
      </c>
      <c r="B9852" t="str">
        <f>T("   OUVRAGES EN FONTE, FER OU ACIER, MOULÉS, N.D.A. (À L'EXCL. DE LA FONTE NON-MALLÉABLE ET SAUF BOULETS ET ARTICLES SIMIL. POUR BROYEURS)")</f>
        <v xml:space="preserve">   OUVRAGES EN FONTE, FER OU ACIER, MOULÉS, N.D.A. (À L'EXCL. DE LA FONTE NON-MALLÉABLE ET SAUF BOULETS ET ARTICLES SIMIL. POUR BROYEURS)</v>
      </c>
      <c r="C9852">
        <v>650000</v>
      </c>
      <c r="D9852">
        <v>3145</v>
      </c>
    </row>
    <row r="9853" spans="1:4" x14ac:dyDescent="0.25">
      <c r="A9853" t="str">
        <f>T("   732619")</f>
        <v xml:space="preserve">   732619</v>
      </c>
      <c r="B9853" t="str">
        <f>T("   Ouvrages en fer ou en acier, forgés ou estampés mais non autrement travaillés, n.d.a. (sauf boulets et articles simil. pour broyeurs)")</f>
        <v xml:space="preserve">   Ouvrages en fer ou en acier, forgés ou estampés mais non autrement travaillés, n.d.a. (sauf boulets et articles simil. pour broyeurs)</v>
      </c>
      <c r="C9853">
        <v>174768</v>
      </c>
      <c r="D9853">
        <v>440</v>
      </c>
    </row>
    <row r="9854" spans="1:4" x14ac:dyDescent="0.25">
      <c r="A9854" t="str">
        <f>T("   732690")</f>
        <v xml:space="preserve">   732690</v>
      </c>
      <c r="B9854"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9854">
        <v>174768</v>
      </c>
      <c r="D9854">
        <v>1100</v>
      </c>
    </row>
    <row r="9855" spans="1:4" x14ac:dyDescent="0.25">
      <c r="A9855" t="str">
        <f>T("   741529")</f>
        <v xml:space="preserve">   741529</v>
      </c>
      <c r="B9855" t="str">
        <f>T("   Boulons, rivets, goupilles, chevilles, clavettes et simil., non filetés, en cuivre (sauf rondelles, y.c. -les rondelles destinées à faire ressort-)")</f>
        <v xml:space="preserve">   Boulons, rivets, goupilles, chevilles, clavettes et simil., non filetés, en cuivre (sauf rondelles, y.c. -les rondelles destinées à faire ressort-)</v>
      </c>
      <c r="C9855">
        <v>10924</v>
      </c>
      <c r="D9855">
        <v>125</v>
      </c>
    </row>
    <row r="9856" spans="1:4" x14ac:dyDescent="0.25">
      <c r="A9856" t="str">
        <f>T("   741811")</f>
        <v xml:space="preserve">   741811</v>
      </c>
      <c r="B9856" t="str">
        <f>T("   Eponges, torchons, gants et articles simil. pour le récurage, le polissage et usages analogues, en cuivre (à l'excl. des articles d'hygiène et de toilette)")</f>
        <v xml:space="preserve">   Eponges, torchons, gants et articles simil. pour le récurage, le polissage et usages analogues, en cuivre (à l'excl. des articles d'hygiène et de toilette)</v>
      </c>
      <c r="C9856">
        <v>10923</v>
      </c>
      <c r="D9856">
        <v>80</v>
      </c>
    </row>
    <row r="9857" spans="1:4" x14ac:dyDescent="0.25">
      <c r="A9857" t="str">
        <f>T("   741819")</f>
        <v xml:space="preserve">   741819</v>
      </c>
      <c r="B9857" t="s">
        <v>365</v>
      </c>
      <c r="C9857">
        <v>600000</v>
      </c>
      <c r="D9857">
        <v>550</v>
      </c>
    </row>
    <row r="9858" spans="1:4" x14ac:dyDescent="0.25">
      <c r="A9858" t="str">
        <f>T("   760410")</f>
        <v xml:space="preserve">   760410</v>
      </c>
      <c r="B9858" t="str">
        <f>T("   BARRES ET PROFILÉS EN ALUMINIUM NON-ALLIÉ, N.D.A.")</f>
        <v xml:space="preserve">   BARRES ET PROFILÉS EN ALUMINIUM NON-ALLIÉ, N.D.A.</v>
      </c>
      <c r="C9858">
        <v>147601</v>
      </c>
      <c r="D9858">
        <v>175</v>
      </c>
    </row>
    <row r="9859" spans="1:4" x14ac:dyDescent="0.25">
      <c r="A9859" t="str">
        <f>T("   760421")</f>
        <v xml:space="preserve">   760421</v>
      </c>
      <c r="B9859" t="str">
        <f>T("   Profilés creux en alliages d'aluminium, n.d.a.")</f>
        <v xml:space="preserve">   Profilés creux en alliages d'aluminium, n.d.a.</v>
      </c>
      <c r="C9859">
        <v>88561</v>
      </c>
      <c r="D9859">
        <v>600</v>
      </c>
    </row>
    <row r="9860" spans="1:4" x14ac:dyDescent="0.25">
      <c r="A9860" t="str">
        <f>T("   760429")</f>
        <v xml:space="preserve">   760429</v>
      </c>
      <c r="B9860" t="str">
        <f>T("   Barres et profilés pleins en alliages d'aluminium, n.d.a.")</f>
        <v xml:space="preserve">   Barres et profilés pleins en alliages d'aluminium, n.d.a.</v>
      </c>
      <c r="C9860">
        <v>15118816</v>
      </c>
      <c r="D9860">
        <v>44640</v>
      </c>
    </row>
    <row r="9861" spans="1:4" x14ac:dyDescent="0.25">
      <c r="A9861" t="str">
        <f>T("   760900")</f>
        <v xml:space="preserve">   760900</v>
      </c>
      <c r="B9861" t="str">
        <f>T("   Accessoires de tuyauterie, p.ex. raccords, coudes, manchons, en aluminium")</f>
        <v xml:space="preserve">   Accessoires de tuyauterie, p.ex. raccords, coudes, manchons, en aluminium</v>
      </c>
      <c r="C9861">
        <v>10924</v>
      </c>
      <c r="D9861">
        <v>140</v>
      </c>
    </row>
    <row r="9862" spans="1:4" x14ac:dyDescent="0.25">
      <c r="A9862" t="str">
        <f>T("   761010")</f>
        <v xml:space="preserve">   761010</v>
      </c>
      <c r="B9862" t="str">
        <f>T("   Portes, fenêtres et leurs cadres, chambranles et seuils, en aluminium (sauf pièces de garnissage)")</f>
        <v xml:space="preserve">   Portes, fenêtres et leurs cadres, chambranles et seuils, en aluminium (sauf pièces de garnissage)</v>
      </c>
      <c r="C9862">
        <v>327690</v>
      </c>
      <c r="D9862">
        <v>400</v>
      </c>
    </row>
    <row r="9863" spans="1:4" x14ac:dyDescent="0.25">
      <c r="A9863" t="str">
        <f>T("   761090")</f>
        <v xml:space="preserve">   761090</v>
      </c>
      <c r="B9863" t="str">
        <f>T("   Constructions et parties de constructions, en aluminium, n.d.a., ainsi que tôles, barres, profilés, tubes, tuyaux et simil., en aluminium, n.d.a; (sauf constructions préfabriquées du n° 9406, portes, fenêtres et leurs cadres, chambranles et seuils)")</f>
        <v xml:space="preserve">   Constructions et parties de constructions, en aluminium, n.d.a., ainsi que tôles, barres, profilés, tubes, tuyaux et simil., en aluminium, n.d.a; (sauf constructions préfabriquées du n° 9406, portes, fenêtres et leurs cadres, chambranles et seuils)</v>
      </c>
      <c r="C9863">
        <v>371382</v>
      </c>
      <c r="D9863">
        <v>1660</v>
      </c>
    </row>
    <row r="9864" spans="1:4" x14ac:dyDescent="0.25">
      <c r="A9864" t="str">
        <f>T("   761210")</f>
        <v xml:space="preserve">   761210</v>
      </c>
      <c r="B9864" t="str">
        <f>T("   Etuis tubulaires souples en aluminium")</f>
        <v xml:space="preserve">   Etuis tubulaires souples en aluminium</v>
      </c>
      <c r="C9864">
        <v>750000</v>
      </c>
      <c r="D9864">
        <v>6800</v>
      </c>
    </row>
    <row r="9865" spans="1:4" x14ac:dyDescent="0.25">
      <c r="A9865" t="str">
        <f>T("   761290")</f>
        <v xml:space="preserve">   761290</v>
      </c>
      <c r="B9865" t="str">
        <f>T("   Réservoirs, fûts, tambours, bidons, boîtes et récipients simil., en aluminium, y.c. les étuis tubulaires rigides, pour toutes matières, sauf gaz comprimés ou liquéfiés, d'une contenance &lt;= 300 l, n.d.a.")</f>
        <v xml:space="preserve">   Réservoirs, fûts, tambours, bidons, boîtes et récipients simil., en aluminium, y.c. les étuis tubulaires rigides, pour toutes matières, sauf gaz comprimés ou liquéfiés, d'une contenance &lt;= 300 l, n.d.a.</v>
      </c>
      <c r="C9865">
        <v>43877083</v>
      </c>
      <c r="D9865">
        <v>21700</v>
      </c>
    </row>
    <row r="9866" spans="1:4" x14ac:dyDescent="0.25">
      <c r="A9866" t="str">
        <f>T("   761511")</f>
        <v xml:space="preserve">   761511</v>
      </c>
      <c r="B9866" t="str">
        <f>T("   Eponges, torchons, gants et articles simil. pour le récurage, le polissage et usages analogues, en aluminium (à l'excl. des articles d'hygiène et de toilette)")</f>
        <v xml:space="preserve">   Eponges, torchons, gants et articles simil. pour le récurage, le polissage et usages analogues, en aluminium (à l'excl. des articles d'hygiène et de toilette)</v>
      </c>
      <c r="C9866">
        <v>60511</v>
      </c>
      <c r="D9866">
        <v>455</v>
      </c>
    </row>
    <row r="9867" spans="1:4" x14ac:dyDescent="0.25">
      <c r="A9867" t="str">
        <f>T("   761519")</f>
        <v xml:space="preserve">   761519</v>
      </c>
      <c r="B9867" t="s">
        <v>367</v>
      </c>
      <c r="C9867">
        <v>37838341</v>
      </c>
      <c r="D9867">
        <v>105285</v>
      </c>
    </row>
    <row r="9868" spans="1:4" x14ac:dyDescent="0.25">
      <c r="A9868" t="str">
        <f>T("   761520")</f>
        <v xml:space="preserve">   761520</v>
      </c>
      <c r="B9868" t="str">
        <f>T("   Articles d'hygiène ou de toilette, et leurs parties, en aluminium (sauf bidons, boîtes et récipients simil. du n° 7612 et sauf accessoires de tuyauterie)")</f>
        <v xml:space="preserve">   Articles d'hygiène ou de toilette, et leurs parties, en aluminium (sauf bidons, boîtes et récipients simil. du n° 7612 et sauf accessoires de tuyauterie)</v>
      </c>
      <c r="C9868">
        <v>50413697</v>
      </c>
      <c r="D9868">
        <v>128233</v>
      </c>
    </row>
    <row r="9869" spans="1:4" x14ac:dyDescent="0.25">
      <c r="A9869" t="str">
        <f>T("   761610")</f>
        <v xml:space="preserve">   761610</v>
      </c>
      <c r="B9869" t="s">
        <v>368</v>
      </c>
      <c r="C9869">
        <v>308029</v>
      </c>
      <c r="D9869">
        <v>551</v>
      </c>
    </row>
    <row r="9870" spans="1:4" x14ac:dyDescent="0.25">
      <c r="A9870" t="str">
        <f>T("   761691")</f>
        <v xml:space="preserve">   761691</v>
      </c>
      <c r="B9870" t="str">
        <f>T("   Toiles métalliques, grillages et treillis, en fils d'aluminium (sauf toiles en fils métalliques pour revêtements, aménagements intérieurs et usages simil., toiles, grillages et treillis transformés en cribles ou tamis à main ou en pièces de machines)")</f>
        <v xml:space="preserve">   Toiles métalliques, grillages et treillis, en fils d'aluminium (sauf toiles en fils métalliques pour revêtements, aménagements intérieurs et usages simil., toiles, grillages et treillis transformés en cribles ou tamis à main ou en pièces de machines)</v>
      </c>
      <c r="C9870">
        <v>11720897</v>
      </c>
      <c r="D9870">
        <v>21037</v>
      </c>
    </row>
    <row r="9871" spans="1:4" x14ac:dyDescent="0.25">
      <c r="A9871" t="str">
        <f>T("   761699")</f>
        <v xml:space="preserve">   761699</v>
      </c>
      <c r="B9871" t="str">
        <f>T("   Ouvrages en aluminium, n.d.a.")</f>
        <v xml:space="preserve">   Ouvrages en aluminium, n.d.a.</v>
      </c>
      <c r="C9871">
        <v>3066163</v>
      </c>
      <c r="D9871">
        <v>15316</v>
      </c>
    </row>
    <row r="9872" spans="1:4" x14ac:dyDescent="0.25">
      <c r="A9872" t="str">
        <f>T("   790500")</f>
        <v xml:space="preserve">   790500</v>
      </c>
      <c r="B9872" t="str">
        <f>T("   TOLES, BANDES ET FEUILLES EN ZINC")</f>
        <v xml:space="preserve">   TOLES, BANDES ET FEUILLES EN ZINC</v>
      </c>
      <c r="C9872">
        <v>3840000</v>
      </c>
      <c r="D9872">
        <v>15000</v>
      </c>
    </row>
    <row r="9873" spans="1:4" x14ac:dyDescent="0.25">
      <c r="A9873" t="str">
        <f>T("   810420")</f>
        <v xml:space="preserve">   810420</v>
      </c>
      <c r="B9873" t="str">
        <f>T("   Déchets et débris de magnésium (sauf cendres et résidus contenant du magnésium et sauf tournures et granulés de magnésium calibrés)")</f>
        <v xml:space="preserve">   Déchets et débris de magnésium (sauf cendres et résidus contenant du magnésium et sauf tournures et granulés de magnésium calibrés)</v>
      </c>
      <c r="C9873">
        <v>10128035</v>
      </c>
      <c r="D9873">
        <v>248080</v>
      </c>
    </row>
    <row r="9874" spans="1:4" x14ac:dyDescent="0.25">
      <c r="A9874" t="str">
        <f>T("   820110")</f>
        <v xml:space="preserve">   820110</v>
      </c>
      <c r="B9874" t="str">
        <f>T("   Bêches et pelles, avec partie travaillante en métaux communs")</f>
        <v xml:space="preserve">   Bêches et pelles, avec partie travaillante en métaux communs</v>
      </c>
      <c r="C9874">
        <v>24156081</v>
      </c>
      <c r="D9874">
        <v>224560</v>
      </c>
    </row>
    <row r="9875" spans="1:4" x14ac:dyDescent="0.25">
      <c r="A9875" t="str">
        <f>T("   820130")</f>
        <v xml:space="preserve">   820130</v>
      </c>
      <c r="B9875" t="str">
        <f>T("   Pioches, pics, houes, binettes, râteaux et racloirs, avec partie travaillante en métaux communs (sauf piolets)")</f>
        <v xml:space="preserve">   Pioches, pics, houes, binettes, râteaux et racloirs, avec partie travaillante en métaux communs (sauf piolets)</v>
      </c>
      <c r="C9875">
        <v>10923</v>
      </c>
      <c r="D9875">
        <v>45</v>
      </c>
    </row>
    <row r="9876" spans="1:4" x14ac:dyDescent="0.25">
      <c r="A9876" t="str">
        <f>T("   820190")</f>
        <v xml:space="preserve">   820190</v>
      </c>
      <c r="B9876" t="s">
        <v>369</v>
      </c>
      <c r="C9876">
        <v>110156</v>
      </c>
      <c r="D9876">
        <v>2540</v>
      </c>
    </row>
    <row r="9877" spans="1:4" x14ac:dyDescent="0.25">
      <c r="A9877" t="str">
        <f>T("   820411")</f>
        <v xml:space="preserve">   820411</v>
      </c>
      <c r="B9877" t="str">
        <f>T("   Clés de serrage à main, y.c. -les clés dynamométriques-, en métaux communs, à ouverture fixe")</f>
        <v xml:space="preserve">   Clés de serrage à main, y.c. -les clés dynamométriques-, en métaux communs, à ouverture fixe</v>
      </c>
      <c r="C9877">
        <v>109230</v>
      </c>
      <c r="D9877">
        <v>560</v>
      </c>
    </row>
    <row r="9878" spans="1:4" x14ac:dyDescent="0.25">
      <c r="A9878" t="str">
        <f>T("   820540")</f>
        <v xml:space="preserve">   820540</v>
      </c>
      <c r="B9878" t="str">
        <f>T("   Tournevis à main")</f>
        <v xml:space="preserve">   Tournevis à main</v>
      </c>
      <c r="C9878">
        <v>15292</v>
      </c>
      <c r="D9878">
        <v>120</v>
      </c>
    </row>
    <row r="9879" spans="1:4" x14ac:dyDescent="0.25">
      <c r="A9879" t="str">
        <f>T("   821210")</f>
        <v xml:space="preserve">   821210</v>
      </c>
      <c r="B9879" t="str">
        <f>T("   Rasoirs et rasoirs de sûreté non-électriques, en métaux communs")</f>
        <v xml:space="preserve">   Rasoirs et rasoirs de sûreté non-électriques, en métaux communs</v>
      </c>
      <c r="C9879">
        <v>6815340</v>
      </c>
      <c r="D9879">
        <v>18734</v>
      </c>
    </row>
    <row r="9880" spans="1:4" x14ac:dyDescent="0.25">
      <c r="A9880" t="str">
        <f>T("   821599")</f>
        <v xml:space="preserve">   821599</v>
      </c>
      <c r="B9880" t="s">
        <v>374</v>
      </c>
      <c r="C9880">
        <v>254264</v>
      </c>
      <c r="D9880">
        <v>1048</v>
      </c>
    </row>
    <row r="9881" spans="1:4" x14ac:dyDescent="0.25">
      <c r="A9881" t="str">
        <f>T("   830140")</f>
        <v xml:space="preserve">   830140</v>
      </c>
      <c r="B9881" t="str">
        <f>T("   Serrures et verrous, en métaux communs (autres que cadenas et serrures des types utilisés pour véhicules automobiles ou meubles)")</f>
        <v xml:space="preserve">   Serrures et verrous, en métaux communs (autres que cadenas et serrures des types utilisés pour véhicules automobiles ou meubles)</v>
      </c>
      <c r="C9881">
        <v>11255928</v>
      </c>
      <c r="D9881">
        <v>77530</v>
      </c>
    </row>
    <row r="9882" spans="1:4" x14ac:dyDescent="0.25">
      <c r="A9882" t="str">
        <f>T("   830210")</f>
        <v xml:space="preserve">   830210</v>
      </c>
      <c r="B9882" t="str">
        <f>T("   Charnières de tous genres, y.c. les paumelles et pentures, en métaux communs")</f>
        <v xml:space="preserve">   Charnières de tous genres, y.c. les paumelles et pentures, en métaux communs</v>
      </c>
      <c r="C9882">
        <v>135445</v>
      </c>
      <c r="D9882">
        <v>2745</v>
      </c>
    </row>
    <row r="9883" spans="1:4" x14ac:dyDescent="0.25">
      <c r="A9883" t="str">
        <f>T("   830249")</f>
        <v xml:space="preserve">   830249</v>
      </c>
      <c r="B9883" t="s">
        <v>375</v>
      </c>
      <c r="C9883">
        <v>14133996</v>
      </c>
      <c r="D9883">
        <v>145802</v>
      </c>
    </row>
    <row r="9884" spans="1:4" x14ac:dyDescent="0.25">
      <c r="A9884" t="str">
        <f>T("   830610")</f>
        <v xml:space="preserve">   830610</v>
      </c>
      <c r="B9884" t="str">
        <f>T("   Cloches, sonnettes, gongs et articles simil. non-électriques, en métaux communs (sauf instruments de musique)")</f>
        <v xml:space="preserve">   Cloches, sonnettes, gongs et articles simil. non-électriques, en métaux communs (sauf instruments de musique)</v>
      </c>
      <c r="C9884">
        <v>21846</v>
      </c>
      <c r="D9884">
        <v>200</v>
      </c>
    </row>
    <row r="9885" spans="1:4" x14ac:dyDescent="0.25">
      <c r="A9885" t="str">
        <f>T("   830990")</f>
        <v xml:space="preserve">   830990</v>
      </c>
      <c r="B9885" t="str">
        <f>T("   Bouchons [y.c. les bouchons à pas de vis et les bouchons-verseurs], couvercles, capsules pour bouteilles, bondes filetées, plaques de bondes, scellés et autres accessoires d'emballage, en métaux communs (à l'excl. des bouchons-couronnes)")</f>
        <v xml:space="preserve">   Bouchons [y.c. les bouchons à pas de vis et les bouchons-verseurs], couvercles, capsules pour bouteilles, bondes filetées, plaques de bondes, scellés et autres accessoires d'emballage, en métaux communs (à l'excl. des bouchons-couronnes)</v>
      </c>
      <c r="C9885">
        <v>1236851</v>
      </c>
      <c r="D9885">
        <v>465</v>
      </c>
    </row>
    <row r="9886" spans="1:4" x14ac:dyDescent="0.25">
      <c r="A9886" t="str">
        <f>T("   831110")</f>
        <v xml:space="preserve">   831110</v>
      </c>
      <c r="B9886" t="str">
        <f>T("   ÉLECTRODES ENROBÉES EN MÉTAUX COMMUNS, POUR LE SOUDAGE À L'ARC")</f>
        <v xml:space="preserve">   ÉLECTRODES ENROBÉES EN MÉTAUX COMMUNS, POUR LE SOUDAGE À L'ARC</v>
      </c>
      <c r="C9886">
        <v>10165750</v>
      </c>
      <c r="D9886">
        <v>40000</v>
      </c>
    </row>
    <row r="9887" spans="1:4" x14ac:dyDescent="0.25">
      <c r="A9887" t="str">
        <f>T("   831130")</f>
        <v xml:space="preserve">   831130</v>
      </c>
      <c r="B9887" t="s">
        <v>379</v>
      </c>
      <c r="C9887">
        <v>16700272</v>
      </c>
      <c r="D9887">
        <v>119057</v>
      </c>
    </row>
    <row r="9888" spans="1:4" x14ac:dyDescent="0.25">
      <c r="A9888" t="str">
        <f>T("   840510")</f>
        <v xml:space="preserve">   840510</v>
      </c>
      <c r="B9888" t="s">
        <v>381</v>
      </c>
      <c r="C9888">
        <v>895255</v>
      </c>
      <c r="D9888">
        <v>1400</v>
      </c>
    </row>
    <row r="9889" spans="1:4" x14ac:dyDescent="0.25">
      <c r="A9889" t="str">
        <f>T("   840734")</f>
        <v xml:space="preserve">   840734</v>
      </c>
      <c r="B9889" t="s">
        <v>386</v>
      </c>
      <c r="C9889">
        <v>236163</v>
      </c>
      <c r="D9889">
        <v>980</v>
      </c>
    </row>
    <row r="9890" spans="1:4" x14ac:dyDescent="0.25">
      <c r="A9890" t="str">
        <f>T("   840790")</f>
        <v xml:space="preserve">   840790</v>
      </c>
      <c r="B9890" t="s">
        <v>387</v>
      </c>
      <c r="C9890">
        <v>147601</v>
      </c>
      <c r="D9890">
        <v>500</v>
      </c>
    </row>
    <row r="9891" spans="1:4" x14ac:dyDescent="0.25">
      <c r="A9891" t="str">
        <f>T("   840820")</f>
        <v xml:space="preserve">   840820</v>
      </c>
      <c r="B9891" t="s">
        <v>388</v>
      </c>
      <c r="C9891">
        <v>1254608</v>
      </c>
      <c r="D9891">
        <v>3500</v>
      </c>
    </row>
    <row r="9892" spans="1:4" x14ac:dyDescent="0.25">
      <c r="A9892" t="str">
        <f>T("   840890")</f>
        <v xml:space="preserve">   840890</v>
      </c>
      <c r="B9892" t="s">
        <v>389</v>
      </c>
      <c r="C9892">
        <v>295203</v>
      </c>
      <c r="D9892">
        <v>480</v>
      </c>
    </row>
    <row r="9893" spans="1:4" x14ac:dyDescent="0.25">
      <c r="A9893" t="str">
        <f>T("   840991")</f>
        <v xml:space="preserve">   840991</v>
      </c>
      <c r="B9893" t="str">
        <f>T("   Parties reconnaissables comme étant exclusivement ou principalement destinées aux moteurs à piston à allumage par étincelles, n.d.a.")</f>
        <v xml:space="preserve">   Parties reconnaissables comme étant exclusivement ou principalement destinées aux moteurs à piston à allumage par étincelles, n.d.a.</v>
      </c>
      <c r="C9893">
        <v>103321</v>
      </c>
      <c r="D9893">
        <v>310</v>
      </c>
    </row>
    <row r="9894" spans="1:4" x14ac:dyDescent="0.25">
      <c r="A9894" t="str">
        <f>T("   840999")</f>
        <v xml:space="preserve">   840999</v>
      </c>
      <c r="B9894" t="str">
        <f>T("   Parties reconnaissables comme étant exclusivement ou principalement destinées aux moteurs à piston à allumage par compression, n.d.a.")</f>
        <v xml:space="preserve">   Parties reconnaissables comme étant exclusivement ou principalement destinées aux moteurs à piston à allumage par compression, n.d.a.</v>
      </c>
      <c r="C9894">
        <v>5573501</v>
      </c>
      <c r="D9894">
        <v>1080</v>
      </c>
    </row>
    <row r="9895" spans="1:4" x14ac:dyDescent="0.25">
      <c r="A9895" t="str">
        <f>T("   841229")</f>
        <v xml:space="preserve">   841229</v>
      </c>
      <c r="B9895" t="str">
        <f>T("   Moteurs hydrauliques (autres que turbines hydrauliques ou roues hydrauliques du n° 8410, turbines à vapeur et moteurs hydrauliques, à mouvement rectiligne -cylindres-)")</f>
        <v xml:space="preserve">   Moteurs hydrauliques (autres que turbines hydrauliques ou roues hydrauliques du n° 8410, turbines à vapeur et moteurs hydrauliques, à mouvement rectiligne -cylindres-)</v>
      </c>
      <c r="C9895">
        <v>3429722</v>
      </c>
      <c r="D9895">
        <v>930</v>
      </c>
    </row>
    <row r="9896" spans="1:4" x14ac:dyDescent="0.25">
      <c r="A9896" t="str">
        <f>T("   841280")</f>
        <v xml:space="preserve">   841280</v>
      </c>
      <c r="B9896" t="str">
        <f>T("   Moteurs et machines motrices (à l'excl. des turbines à vapeur, moteurs à piston, turbines hydrauliques, roues hydrauliques, turbines à gaz, moteurs à réaction, moteurs hydrauliques et oléohydrauliques, moteurs pneumatiques et sauf moteurs électriques)")</f>
        <v xml:space="preserve">   Moteurs et machines motrices (à l'excl. des turbines à vapeur, moteurs à piston, turbines hydrauliques, roues hydrauliques, turbines à gaz, moteurs à réaction, moteurs hydrauliques et oléohydrauliques, moteurs pneumatiques et sauf moteurs électriques)</v>
      </c>
      <c r="C9896">
        <v>157562</v>
      </c>
      <c r="D9896">
        <v>1850</v>
      </c>
    </row>
    <row r="9897" spans="1:4" x14ac:dyDescent="0.25">
      <c r="A9897" t="str">
        <f>T("   841319")</f>
        <v xml:space="preserve">   841319</v>
      </c>
      <c r="B9897" t="str">
        <f>T("   Pompes pour liquides, avec dispositif mesureur ou conçues pour en comporter (sauf pompes pour la distribution de carburants ou lubrifiants, des types utilisés dans les stations-service ou les garages)")</f>
        <v xml:space="preserve">   Pompes pour liquides, avec dispositif mesureur ou conçues pour en comporter (sauf pompes pour la distribution de carburants ou lubrifiants, des types utilisés dans les stations-service ou les garages)</v>
      </c>
      <c r="C9897">
        <v>218460</v>
      </c>
      <c r="D9897">
        <v>1500</v>
      </c>
    </row>
    <row r="9898" spans="1:4" x14ac:dyDescent="0.25">
      <c r="A9898" t="str">
        <f>T("   841370")</f>
        <v xml:space="preserve">   841370</v>
      </c>
      <c r="B9898" t="s">
        <v>392</v>
      </c>
      <c r="C9898">
        <v>411817</v>
      </c>
      <c r="D9898">
        <v>480</v>
      </c>
    </row>
    <row r="9899" spans="1:4" x14ac:dyDescent="0.25">
      <c r="A9899" t="str">
        <f>T("   841381")</f>
        <v xml:space="preserve">   841381</v>
      </c>
      <c r="B9899" t="s">
        <v>393</v>
      </c>
      <c r="C9899">
        <v>906572</v>
      </c>
      <c r="D9899">
        <v>5782</v>
      </c>
    </row>
    <row r="9900" spans="1:4" x14ac:dyDescent="0.25">
      <c r="A9900" t="str">
        <f>T("   841440")</f>
        <v xml:space="preserve">   841440</v>
      </c>
      <c r="B9900" t="str">
        <f>T("   Compresseurs d'air montés sur châssis à roues et remorquables")</f>
        <v xml:space="preserve">   Compresseurs d'air montés sur châssis à roues et remorquables</v>
      </c>
      <c r="C9900">
        <v>295204</v>
      </c>
      <c r="D9900">
        <v>800</v>
      </c>
    </row>
    <row r="9901" spans="1:4" x14ac:dyDescent="0.25">
      <c r="A9901" t="str">
        <f>T("   841451")</f>
        <v xml:space="preserve">   841451</v>
      </c>
      <c r="B9901" t="str">
        <f>T("   Ventilateurs de table, de sol, muraux, plafonniers, de toitures ou de fenêtres, à moteur électrique incorporé, d'une puissance &lt;= 125 W")</f>
        <v xml:space="preserve">   Ventilateurs de table, de sol, muraux, plafonniers, de toitures ou de fenêtres, à moteur électrique incorporé, d'une puissance &lt;= 125 W</v>
      </c>
      <c r="C9901">
        <v>5265684</v>
      </c>
      <c r="D9901">
        <v>9200</v>
      </c>
    </row>
    <row r="9902" spans="1:4" x14ac:dyDescent="0.25">
      <c r="A9902" t="str">
        <f>T("   841510")</f>
        <v xml:space="preserve">   841510</v>
      </c>
      <c r="B9902" t="s">
        <v>395</v>
      </c>
      <c r="C9902">
        <v>524296</v>
      </c>
      <c r="D9902">
        <v>331</v>
      </c>
    </row>
    <row r="9903" spans="1:4" x14ac:dyDescent="0.25">
      <c r="A9903" t="str">
        <f>T("   841520")</f>
        <v xml:space="preserve">   841520</v>
      </c>
      <c r="B9903" t="str">
        <f>T("   Machines et appareils pour le conditionnement de l'air du type de ceux utilisés pour le confort des personnes dans les véhicules automobiles")</f>
        <v xml:space="preserve">   Machines et appareils pour le conditionnement de l'air du type de ceux utilisés pour le confort des personnes dans les véhicules automobiles</v>
      </c>
      <c r="C9903">
        <v>2400000</v>
      </c>
      <c r="D9903">
        <v>18480</v>
      </c>
    </row>
    <row r="9904" spans="1:4" x14ac:dyDescent="0.25">
      <c r="A9904" t="str">
        <f>T("   841583")</f>
        <v xml:space="preserve">   841583</v>
      </c>
      <c r="B9904" t="s">
        <v>398</v>
      </c>
      <c r="C9904">
        <v>4000000</v>
      </c>
      <c r="D9904">
        <v>8000</v>
      </c>
    </row>
    <row r="9905" spans="1:4" x14ac:dyDescent="0.25">
      <c r="A9905" t="str">
        <f>T("   841620")</f>
        <v xml:space="preserve">   841620</v>
      </c>
      <c r="B9905" t="str">
        <f>T("   Brûleurs pour l'alimentation des foyers à combustibles solides pulvérisés ou à gaz, y.c. les brûleurs mixtes")</f>
        <v xml:space="preserve">   Brûleurs pour l'alimentation des foyers à combustibles solides pulvérisés ou à gaz, y.c. les brûleurs mixtes</v>
      </c>
      <c r="C9905">
        <v>17905</v>
      </c>
      <c r="D9905">
        <v>40</v>
      </c>
    </row>
    <row r="9906" spans="1:4" x14ac:dyDescent="0.25">
      <c r="A9906" t="str">
        <f>T("   841690")</f>
        <v xml:space="preserve">   841690</v>
      </c>
      <c r="B9906" t="str">
        <f>T("   PARTIES DE BR¹LEURS POUR L'ALIMENTATION DES FOYERS ET DES FOYERS AUTOMATIQUES, DE LEURS AVANT-FOYERS, GRILLES MÉCANIQUES, DISPOSITIFS MÉCANIQUES POUR L'ÉVACUATION DES CENDRES ET DISPOSITIFS SIMIL., N.D.A.")</f>
        <v xml:space="preserve">   PARTIES DE BR¹LEURS POUR L'ALIMENTATION DES FOYERS ET DES FOYERS AUTOMATIQUES, DE LEURS AVANT-FOYERS, GRILLES MÉCANIQUES, DISPOSITIFS MÉCANIQUES POUR L'ÉVACUATION DES CENDRES ET DISPOSITIFS SIMIL., N.D.A.</v>
      </c>
      <c r="C9906">
        <v>17905</v>
      </c>
      <c r="D9906">
        <v>80</v>
      </c>
    </row>
    <row r="9907" spans="1:4" x14ac:dyDescent="0.25">
      <c r="A9907" t="str">
        <f>T("   841710")</f>
        <v xml:space="preserve">   841710</v>
      </c>
      <c r="B9907" t="str">
        <f>T("   Fours industriels ou de laboratoire, non-électriques, pour le grillage, la fusion ou autres traitements thermiques des minerais, de la pyrite ou des métaux (à l'excl. des étuves)")</f>
        <v xml:space="preserve">   Fours industriels ou de laboratoire, non-électriques, pour le grillage, la fusion ou autres traitements thermiques des minerais, de la pyrite ou des métaux (à l'excl. des étuves)</v>
      </c>
      <c r="C9907">
        <v>143238</v>
      </c>
      <c r="D9907">
        <v>290</v>
      </c>
    </row>
    <row r="9908" spans="1:4" x14ac:dyDescent="0.25">
      <c r="A9908" t="str">
        <f>T("   841780")</f>
        <v xml:space="preserve">   841780</v>
      </c>
      <c r="B9908" t="s">
        <v>399</v>
      </c>
      <c r="C9908">
        <v>700000</v>
      </c>
      <c r="D9908">
        <v>1700</v>
      </c>
    </row>
    <row r="9909" spans="1:4" x14ac:dyDescent="0.25">
      <c r="A9909" t="str">
        <f>T("   841821")</f>
        <v xml:space="preserve">   841821</v>
      </c>
      <c r="B9909" t="str">
        <f>T("   Réfrigérateurs ménagers à compression")</f>
        <v xml:space="preserve">   Réfrigérateurs ménagers à compression</v>
      </c>
      <c r="C9909">
        <v>6281657</v>
      </c>
      <c r="D9909">
        <v>16935</v>
      </c>
    </row>
    <row r="9910" spans="1:4" x14ac:dyDescent="0.25">
      <c r="A9910" t="str">
        <f>T("   841822")</f>
        <v xml:space="preserve">   841822</v>
      </c>
      <c r="B9910" t="str">
        <f>T("   Réfrigérateurs ménagers à absorption, électriques")</f>
        <v xml:space="preserve">   Réfrigérateurs ménagers à absorption, électriques</v>
      </c>
      <c r="C9910">
        <v>800000</v>
      </c>
      <c r="D9910">
        <v>2600</v>
      </c>
    </row>
    <row r="9911" spans="1:4" x14ac:dyDescent="0.25">
      <c r="A9911" t="str">
        <f>T("   841829")</f>
        <v xml:space="preserve">   841829</v>
      </c>
      <c r="B9911" t="str">
        <f>T("   Réfrigérateurs ménagers à absorption, non-électriques")</f>
        <v xml:space="preserve">   Réfrigérateurs ménagers à absorption, non-électriques</v>
      </c>
      <c r="C9911">
        <v>4451376</v>
      </c>
      <c r="D9911">
        <v>7680</v>
      </c>
    </row>
    <row r="9912" spans="1:4" x14ac:dyDescent="0.25">
      <c r="A9912" t="str">
        <f>T("   841850")</f>
        <v xml:space="preserve">   841850</v>
      </c>
      <c r="B9912" t="s">
        <v>400</v>
      </c>
      <c r="C9912">
        <v>500000</v>
      </c>
      <c r="D9912">
        <v>1000</v>
      </c>
    </row>
    <row r="9913" spans="1:4" x14ac:dyDescent="0.25">
      <c r="A9913" t="str">
        <f>T("   841899")</f>
        <v xml:space="preserve">   841899</v>
      </c>
      <c r="B9913" t="str">
        <f>T("   Parties de réfrigérateurs et de congélateurs-conservateurs du type armoire et du type coffre et d'autres matériel, machines et appareils pour la production du froid, parties de pompes à chaleur, n.d.a.")</f>
        <v xml:space="preserve">   Parties de réfrigérateurs et de congélateurs-conservateurs du type armoire et du type coffre et d'autres matériel, machines et appareils pour la production du froid, parties de pompes à chaleur, n.d.a.</v>
      </c>
      <c r="C9913">
        <v>100000</v>
      </c>
      <c r="D9913">
        <v>50</v>
      </c>
    </row>
    <row r="9914" spans="1:4" x14ac:dyDescent="0.25">
      <c r="A9914" t="str">
        <f>T("   842219")</f>
        <v xml:space="preserve">   842219</v>
      </c>
      <c r="B9914" t="str">
        <f>T("   Machines à laver la vaisselle (autres que de type ménager)")</f>
        <v xml:space="preserve">   Machines à laver la vaisselle (autres que de type ménager)</v>
      </c>
      <c r="C9914">
        <v>537153</v>
      </c>
      <c r="D9914">
        <v>2800</v>
      </c>
    </row>
    <row r="9915" spans="1:4" x14ac:dyDescent="0.25">
      <c r="A9915" t="str">
        <f>T("   842410")</f>
        <v xml:space="preserve">   842410</v>
      </c>
      <c r="B9915" t="str">
        <f>T("   Extincteurs mécaniques, même chargés (sauf bombes et grenades d'extinction d'incendie)")</f>
        <v xml:space="preserve">   Extincteurs mécaniques, même chargés (sauf bombes et grenades d'extinction d'incendie)</v>
      </c>
      <c r="C9915">
        <v>1432408</v>
      </c>
      <c r="D9915">
        <v>90</v>
      </c>
    </row>
    <row r="9916" spans="1:4" x14ac:dyDescent="0.25">
      <c r="A9916" t="str">
        <f>T("   842481")</f>
        <v xml:space="preserve">   842481</v>
      </c>
      <c r="B9916" t="str">
        <f>T("   Machines et appareils mécaniques, même à main, à projeter, disperser ou pulvériser des matières liquides ou en poudre, pour l'agriculture ou l'horticulture")</f>
        <v xml:space="preserve">   Machines et appareils mécaniques, même à main, à projeter, disperser ou pulvériser des matières liquides ou en poudre, pour l'agriculture ou l'horticulture</v>
      </c>
      <c r="C9916">
        <v>185323</v>
      </c>
      <c r="D9916">
        <v>203</v>
      </c>
    </row>
    <row r="9917" spans="1:4" x14ac:dyDescent="0.25">
      <c r="A9917" t="str">
        <f>T("   842511")</f>
        <v xml:space="preserve">   842511</v>
      </c>
      <c r="B9917" t="str">
        <f>T("   Palans à moteur électrique")</f>
        <v xml:space="preserve">   Palans à moteur électrique</v>
      </c>
      <c r="C9917">
        <v>537153</v>
      </c>
      <c r="D9917">
        <v>380</v>
      </c>
    </row>
    <row r="9918" spans="1:4" x14ac:dyDescent="0.25">
      <c r="A9918" t="str">
        <f>T("   842890")</f>
        <v xml:space="preserve">   842890</v>
      </c>
      <c r="B9918" t="str">
        <f>T("   Machines et appareils de levage, chargement, déchargement ou manutention, n.d.a.")</f>
        <v xml:space="preserve">   Machines et appareils de levage, chargement, déchargement ou manutention, n.d.a.</v>
      </c>
      <c r="C9918">
        <v>3091492</v>
      </c>
      <c r="D9918">
        <v>6000</v>
      </c>
    </row>
    <row r="9919" spans="1:4" x14ac:dyDescent="0.25">
      <c r="A9919" t="str">
        <f>T("   842911")</f>
        <v xml:space="preserve">   842911</v>
      </c>
      <c r="B9919" t="str">
        <f>T("   Bouteurs 'bulldozers' et bouteurs biais 'angledozers', à chenilles")</f>
        <v xml:space="preserve">   Bouteurs 'bulldozers' et bouteurs biais 'angledozers', à chenilles</v>
      </c>
      <c r="C9919">
        <v>70000000</v>
      </c>
      <c r="D9919">
        <v>65300</v>
      </c>
    </row>
    <row r="9920" spans="1:4" x14ac:dyDescent="0.25">
      <c r="A9920" t="str">
        <f>T("   842919")</f>
        <v xml:space="preserve">   842919</v>
      </c>
      <c r="B9920" t="str">
        <f>T("   Bouteurs 'bulldozers' et bouteurs biais 'angledozers', sur roues")</f>
        <v xml:space="preserve">   Bouteurs 'bulldozers' et bouteurs biais 'angledozers', sur roues</v>
      </c>
      <c r="C9920">
        <v>35810</v>
      </c>
      <c r="D9920">
        <v>10</v>
      </c>
    </row>
    <row r="9921" spans="1:4" x14ac:dyDescent="0.25">
      <c r="A9921" t="str">
        <f>T("   842920")</f>
        <v xml:space="preserve">   842920</v>
      </c>
      <c r="B9921" t="str">
        <f>T("   Niveleuses autopropulsées")</f>
        <v xml:space="preserve">   Niveleuses autopropulsées</v>
      </c>
      <c r="C9921">
        <v>300000</v>
      </c>
      <c r="D9921">
        <v>800</v>
      </c>
    </row>
    <row r="9922" spans="1:4" x14ac:dyDescent="0.25">
      <c r="A9922" t="str">
        <f>T("   842940")</f>
        <v xml:space="preserve">   842940</v>
      </c>
      <c r="B9922" t="str">
        <f>T("   Rouleaux compresseurs et autres compacteuses, autopropulsés")</f>
        <v xml:space="preserve">   Rouleaux compresseurs et autres compacteuses, autopropulsés</v>
      </c>
      <c r="C9922">
        <v>18310270</v>
      </c>
      <c r="D9922">
        <v>37905</v>
      </c>
    </row>
    <row r="9923" spans="1:4" x14ac:dyDescent="0.25">
      <c r="A9923" t="str">
        <f>T("   842951")</f>
        <v xml:space="preserve">   842951</v>
      </c>
      <c r="B9923" t="str">
        <f>T("   Chargeuses et chargeuses-pelleteuses, à chargement frontal, autopropulsées")</f>
        <v xml:space="preserve">   Chargeuses et chargeuses-pelleteuses, à chargement frontal, autopropulsées</v>
      </c>
      <c r="C9923">
        <v>42685766</v>
      </c>
      <c r="D9923">
        <v>37000</v>
      </c>
    </row>
    <row r="9924" spans="1:4" x14ac:dyDescent="0.25">
      <c r="A9924" t="str">
        <f>T("   842959")</f>
        <v xml:space="preserve">   842959</v>
      </c>
      <c r="B9924" t="str">
        <f>T("   PELLES MÉCANIQUES, EXCAVATEURS, CHARGEUSES ET CHARGEUSES-PELLETEUSES, AUTOPROPULSÉS (SAUF PELLES-MÉCANIQUES DONT LA SUPERSTRUCTURE PEUT EFFECTUER UNE ROTATION DE 360¦ ET SAUF CHARGEUSES À CHARGEMENT FRONTAL)")</f>
        <v xml:space="preserve">   PELLES MÉCANIQUES, EXCAVATEURS, CHARGEUSES ET CHARGEUSES-PELLETEUSES, AUTOPROPULSÉS (SAUF PELLES-MÉCANIQUES DONT LA SUPERSTRUCTURE PEUT EFFECTUER UNE ROTATION DE 360¦ ET SAUF CHARGEUSES À CHARGEMENT FRONTAL)</v>
      </c>
      <c r="C9924">
        <v>31000000</v>
      </c>
      <c r="D9924">
        <v>30100</v>
      </c>
    </row>
    <row r="9925" spans="1:4" x14ac:dyDescent="0.25">
      <c r="A9925" t="str">
        <f>T("   843041")</f>
        <v xml:space="preserve">   843041</v>
      </c>
      <c r="B9925" t="s">
        <v>408</v>
      </c>
      <c r="C9925">
        <v>358102</v>
      </c>
      <c r="D9925">
        <v>1800</v>
      </c>
    </row>
    <row r="9926" spans="1:4" x14ac:dyDescent="0.25">
      <c r="A9926" t="str">
        <f>T("   843061")</f>
        <v xml:space="preserve">   843061</v>
      </c>
      <c r="B9926" t="str">
        <f>T("   Machines et appareils à tasser ou à compacter, non autopropulsés (sauf outillage pour emploi à la main)")</f>
        <v xml:space="preserve">   Machines et appareils à tasser ou à compacter, non autopropulsés (sauf outillage pour emploi à la main)</v>
      </c>
      <c r="C9926">
        <v>5219000</v>
      </c>
      <c r="D9926">
        <v>12700</v>
      </c>
    </row>
    <row r="9927" spans="1:4" x14ac:dyDescent="0.25">
      <c r="A9927" t="str">
        <f>T("   843069")</f>
        <v xml:space="preserve">   843069</v>
      </c>
      <c r="B9927" t="str">
        <f>T("   Machines et appareils de terrassement, nivellement, décapage, excavation, compactage, extraction ou forage de la terre, des minéraux ou des minerais, non autopropulsés, n.d.a.")</f>
        <v xml:space="preserve">   Machines et appareils de terrassement, nivellement, décapage, excavation, compactage, extraction ou forage de la terre, des minéraux ou des minerais, non autopropulsés, n.d.a.</v>
      </c>
      <c r="C9927">
        <v>2041166</v>
      </c>
      <c r="D9927">
        <v>2620</v>
      </c>
    </row>
    <row r="9928" spans="1:4" x14ac:dyDescent="0.25">
      <c r="A9928" t="str">
        <f>T("   843139")</f>
        <v xml:space="preserve">   843139</v>
      </c>
      <c r="B9928" t="str">
        <f>T("   Parties de machines et appareils du n° 8428, n.d.a.")</f>
        <v xml:space="preserve">   Parties de machines et appareils du n° 8428, n.d.a.</v>
      </c>
      <c r="C9928">
        <v>358102</v>
      </c>
      <c r="D9928">
        <v>600</v>
      </c>
    </row>
    <row r="9929" spans="1:4" x14ac:dyDescent="0.25">
      <c r="A9929" t="str">
        <f>T("   843141")</f>
        <v xml:space="preserve">   843141</v>
      </c>
      <c r="B9929" t="str">
        <f>T("   Godets, bennes, bennes-preneuses, pelles, grappins et pinces pour machines et appareils du n° 8426, 8429 ou 8430")</f>
        <v xml:space="preserve">   Godets, bennes, bennes-preneuses, pelles, grappins et pinces pour machines et appareils du n° 8426, 8429 ou 8430</v>
      </c>
      <c r="C9929">
        <v>984781</v>
      </c>
      <c r="D9929">
        <v>1110</v>
      </c>
    </row>
    <row r="9930" spans="1:4" x14ac:dyDescent="0.25">
      <c r="A9930" t="str">
        <f>T("   843510")</f>
        <v xml:space="preserve">   843510</v>
      </c>
      <c r="B9930" t="s">
        <v>411</v>
      </c>
      <c r="C9930">
        <v>179051</v>
      </c>
      <c r="D9930">
        <v>120</v>
      </c>
    </row>
    <row r="9931" spans="1:4" x14ac:dyDescent="0.25">
      <c r="A9931" t="str">
        <f>T("   843780")</f>
        <v xml:space="preserve">   843780</v>
      </c>
      <c r="B9931" t="s">
        <v>412</v>
      </c>
      <c r="C9931">
        <v>787825</v>
      </c>
      <c r="D9931">
        <v>1560</v>
      </c>
    </row>
    <row r="9932" spans="1:4" x14ac:dyDescent="0.25">
      <c r="A9932" t="str">
        <f>T("   843810")</f>
        <v xml:space="preserve">   843810</v>
      </c>
      <c r="B9932" t="s">
        <v>413</v>
      </c>
      <c r="C9932">
        <v>3700000</v>
      </c>
      <c r="D9932">
        <v>9000</v>
      </c>
    </row>
    <row r="9933" spans="1:4" x14ac:dyDescent="0.25">
      <c r="A9933" t="str">
        <f>T("   843860")</f>
        <v xml:space="preserve">   843860</v>
      </c>
      <c r="B9933" t="s">
        <v>414</v>
      </c>
      <c r="C9933">
        <v>429722</v>
      </c>
      <c r="D9933">
        <v>200</v>
      </c>
    </row>
    <row r="9934" spans="1:4" x14ac:dyDescent="0.25">
      <c r="A9934" t="str">
        <f>T("   844319")</f>
        <v xml:space="preserve">   844319</v>
      </c>
      <c r="B9934" t="s">
        <v>417</v>
      </c>
      <c r="C9934">
        <v>7714090</v>
      </c>
      <c r="D9934">
        <v>6110</v>
      </c>
    </row>
    <row r="9935" spans="1:4" x14ac:dyDescent="0.25">
      <c r="A9935" t="str">
        <f>T("   844359")</f>
        <v xml:space="preserve">   844359</v>
      </c>
      <c r="B9935" t="s">
        <v>418</v>
      </c>
      <c r="C9935">
        <v>895256</v>
      </c>
      <c r="D9935">
        <v>660</v>
      </c>
    </row>
    <row r="9936" spans="1:4" x14ac:dyDescent="0.25">
      <c r="A9936" t="str">
        <f>T("   845019")</f>
        <v xml:space="preserve">   845019</v>
      </c>
      <c r="B9936" t="str">
        <f>T("   Machines à laver le linge d'une capacité unitaire exprimée en poids de linge sec &lt;= 6 kg (à l'excl. des machines entièrement automatiques et des machines à laver le linge avec essoreuse centrifuge incorporée)")</f>
        <v xml:space="preserve">   Machines à laver le linge d'une capacité unitaire exprimée en poids de linge sec &lt;= 6 kg (à l'excl. des machines entièrement automatiques et des machines à laver le linge avec essoreuse centrifuge incorporée)</v>
      </c>
      <c r="C9936">
        <v>509230</v>
      </c>
      <c r="D9936">
        <v>970</v>
      </c>
    </row>
    <row r="9937" spans="1:4" x14ac:dyDescent="0.25">
      <c r="A9937" t="str">
        <f>T("   845210")</f>
        <v xml:space="preserve">   845210</v>
      </c>
      <c r="B9937" t="str">
        <f>T("   Machines à coudre de type ménager")</f>
        <v xml:space="preserve">   Machines à coudre de type ménager</v>
      </c>
      <c r="C9937">
        <v>1500000</v>
      </c>
      <c r="D9937">
        <v>7760</v>
      </c>
    </row>
    <row r="9938" spans="1:4" x14ac:dyDescent="0.25">
      <c r="A9938" t="str">
        <f>T("   846591")</f>
        <v xml:space="preserve">   846591</v>
      </c>
      <c r="B9938" t="str">
        <f>T("   Machines à scier, pour le travail du bois, des matières plastiques dures, etc. (autres que pour emploi à la main)")</f>
        <v xml:space="preserve">   Machines à scier, pour le travail du bois, des matières plastiques dures, etc. (autres que pour emploi à la main)</v>
      </c>
      <c r="C9938">
        <v>4300000</v>
      </c>
      <c r="D9938">
        <v>14180</v>
      </c>
    </row>
    <row r="9939" spans="1:4" x14ac:dyDescent="0.25">
      <c r="A9939" t="str">
        <f>T("   846592")</f>
        <v xml:space="preserve">   846592</v>
      </c>
      <c r="B9939" t="s">
        <v>428</v>
      </c>
      <c r="C9939">
        <v>35810</v>
      </c>
      <c r="D9939">
        <v>250</v>
      </c>
    </row>
    <row r="9940" spans="1:4" x14ac:dyDescent="0.25">
      <c r="A9940" t="str">
        <f>T("   846593")</f>
        <v xml:space="preserve">   846593</v>
      </c>
      <c r="B9940" t="str">
        <f>T("   Machines à meuler, à poncer ou à polir, pour le travail du bois, des matières plastiques dures, etc. (autres que machines pour emploi à la main)")</f>
        <v xml:space="preserve">   Machines à meuler, à poncer ou à polir, pour le travail du bois, des matières plastiques dures, etc. (autres que machines pour emploi à la main)</v>
      </c>
      <c r="C9940">
        <v>89526</v>
      </c>
      <c r="D9940">
        <v>440</v>
      </c>
    </row>
    <row r="9941" spans="1:4" x14ac:dyDescent="0.25">
      <c r="A9941" t="str">
        <f>T("   846595")</f>
        <v xml:space="preserve">   846595</v>
      </c>
      <c r="B9941" t="s">
        <v>429</v>
      </c>
      <c r="C9941">
        <v>5247680</v>
      </c>
      <c r="D9941">
        <v>10000</v>
      </c>
    </row>
    <row r="9942" spans="1:4" x14ac:dyDescent="0.25">
      <c r="A9942" t="str">
        <f>T("   846920")</f>
        <v xml:space="preserve">   846920</v>
      </c>
      <c r="B9942" t="str">
        <f>T("   Machines à écrire électriques (à l'excl. des machines à écrire automatiques, des unités pour machines automatiques de traitement de l'information du n° 8471, ainsi que des imprimantes au laser, thermiques ou électrosensibles)")</f>
        <v xml:space="preserve">   Machines à écrire électriques (à l'excl. des machines à écrire automatiques, des unités pour machines automatiques de traitement de l'information du n° 8471, ainsi que des imprimantes au laser, thermiques ou électrosensibles)</v>
      </c>
      <c r="C9942">
        <v>131580</v>
      </c>
      <c r="D9942">
        <v>3366</v>
      </c>
    </row>
    <row r="9943" spans="1:4" x14ac:dyDescent="0.25">
      <c r="A9943" t="str">
        <f>T("   847110")</f>
        <v xml:space="preserve">   847110</v>
      </c>
      <c r="B9943" t="str">
        <f>T("   Machines automatiques de traitement de l'information, analogiques ou hybrides")</f>
        <v xml:space="preserve">   Machines automatiques de traitement de l'information, analogiques ou hybrides</v>
      </c>
      <c r="C9943">
        <v>1804835</v>
      </c>
      <c r="D9943">
        <v>1610</v>
      </c>
    </row>
    <row r="9944" spans="1:4" x14ac:dyDescent="0.25">
      <c r="A9944" t="str">
        <f>T("   847130")</f>
        <v xml:space="preserve">   847130</v>
      </c>
      <c r="B9944" t="str">
        <f>T("   Machines automatiques de traitement de l'information numériques, portatives, d'un poids &lt;= 10 kg, comportant au moins une unité centrale de traitement, un clavier et un écran (à l'excl. des unités périphériques)")</f>
        <v xml:space="preserve">   Machines automatiques de traitement de l'information numériques, portatives, d'un poids &lt;= 10 kg, comportant au moins une unité centrale de traitement, un clavier et un écran (à l'excl. des unités périphériques)</v>
      </c>
      <c r="C9944">
        <v>28364421</v>
      </c>
      <c r="D9944">
        <v>1080</v>
      </c>
    </row>
    <row r="9945" spans="1:4" x14ac:dyDescent="0.25">
      <c r="A9945" t="str">
        <f>T("   847190")</f>
        <v xml:space="preserve">   847190</v>
      </c>
      <c r="B9945"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9945">
        <v>986482</v>
      </c>
      <c r="D9945">
        <v>2620</v>
      </c>
    </row>
    <row r="9946" spans="1:4" x14ac:dyDescent="0.25">
      <c r="A9946" t="str">
        <f>T("   847329")</f>
        <v xml:space="preserve">   847329</v>
      </c>
      <c r="B9946" t="str">
        <f>T("   Parties et accessoires pour machines à calculer non-électroniques, machines comptables, caisses enregistreuses ou pour autres machines à dispositif de calcul du n° 8470, n.d.a.")</f>
        <v xml:space="preserve">   Parties et accessoires pour machines à calculer non-électroniques, machines comptables, caisses enregistreuses ou pour autres machines à dispositif de calcul du n° 8470, n.d.a.</v>
      </c>
      <c r="C9946">
        <v>76756</v>
      </c>
      <c r="D9946">
        <v>60</v>
      </c>
    </row>
    <row r="9947" spans="1:4" x14ac:dyDescent="0.25">
      <c r="A9947" t="str">
        <f>T("   847420")</f>
        <v xml:space="preserve">   847420</v>
      </c>
      <c r="B9947" t="str">
        <f>T("   Machines et appareils à concasser, broyer ou pulvériser les matières minérales solides")</f>
        <v xml:space="preserve">   Machines et appareils à concasser, broyer ou pulvériser les matières minérales solides</v>
      </c>
      <c r="C9947">
        <v>39964200</v>
      </c>
      <c r="D9947">
        <v>101880</v>
      </c>
    </row>
    <row r="9948" spans="1:4" x14ac:dyDescent="0.25">
      <c r="A9948" t="str">
        <f>T("   847439")</f>
        <v xml:space="preserve">   847439</v>
      </c>
      <c r="B9948" t="str">
        <f>T("   Machines et appareils à mélanger ou à malaxer les matières minérales solides, y.c. -les poudres et les pâtes- (sauf bétonnières et appareils à gâcher le ciment, machines à mélanger les matières minérales au bitume et sauf calandres)")</f>
        <v xml:space="preserve">   Machines et appareils à mélanger ou à malaxer les matières minérales solides, y.c. -les poudres et les pâtes- (sauf bétonnières et appareils à gâcher le ciment, machines à mélanger les matières minérales au bitume et sauf calandres)</v>
      </c>
      <c r="C9948">
        <v>1000000</v>
      </c>
      <c r="D9948">
        <v>1120</v>
      </c>
    </row>
    <row r="9949" spans="1:4" x14ac:dyDescent="0.25">
      <c r="A9949" t="str">
        <f>T("   847780")</f>
        <v xml:space="preserve">   847780</v>
      </c>
      <c r="B9949" t="str">
        <f>T("   MACHINES ET APPAREILS POUR LE TRAVAIL DU CAOUTCHOUC OU DES MATIÈRES PLASTIQUES OU POUR LA FABRICATION DE PRODUITS EN CES MATIÈRES N.D.A. DANS LE CHAPITRE 84")</f>
        <v xml:space="preserve">   MACHINES ET APPAREILS POUR LE TRAVAIL DU CAOUTCHOUC OU DES MATIÈRES PLASTIQUES OU POUR LA FABRICATION DE PRODUITS EN CES MATIÈRES N.D.A. DANS LE CHAPITRE 84</v>
      </c>
      <c r="C9949">
        <v>179054</v>
      </c>
      <c r="D9949">
        <v>560</v>
      </c>
    </row>
    <row r="9950" spans="1:4" x14ac:dyDescent="0.25">
      <c r="A9950" t="str">
        <f>T("   847982")</f>
        <v xml:space="preserve">   847982</v>
      </c>
      <c r="B9950" t="str">
        <f>T("   Machines et appareils à mélanger, malaxer, concasser, broyer, cribler, tamiser, homogénéiser, émulsionner ou brasser, n.d.a. (à l'excl. des robots industriels)")</f>
        <v xml:space="preserve">   Machines et appareils à mélanger, malaxer, concasser, broyer, cribler, tamiser, homogénéiser, émulsionner ou brasser, n.d.a. (à l'excl. des robots industriels)</v>
      </c>
      <c r="C9950">
        <v>16399000</v>
      </c>
      <c r="D9950">
        <v>16000</v>
      </c>
    </row>
    <row r="9951" spans="1:4" x14ac:dyDescent="0.25">
      <c r="A9951" t="str">
        <f>T("   847989")</f>
        <v xml:space="preserve">   847989</v>
      </c>
      <c r="B9951" t="str">
        <f>T("   Machines et appareils, y.c. les appareils mécaniques, n.d.a.")</f>
        <v xml:space="preserve">   Machines et appareils, y.c. les appareils mécaniques, n.d.a.</v>
      </c>
      <c r="C9951">
        <v>888093</v>
      </c>
      <c r="D9951">
        <v>25</v>
      </c>
    </row>
    <row r="9952" spans="1:4" x14ac:dyDescent="0.25">
      <c r="A9952" t="str">
        <f>T("   847990")</f>
        <v xml:space="preserve">   847990</v>
      </c>
      <c r="B9952" t="str">
        <f>T("   Parties de machines et appareils, y.c. les appareils mécaniques, n.d.a.")</f>
        <v xml:space="preserve">   Parties de machines et appareils, y.c. les appareils mécaniques, n.d.a.</v>
      </c>
      <c r="C9952">
        <v>6174866</v>
      </c>
      <c r="D9952">
        <v>15</v>
      </c>
    </row>
    <row r="9953" spans="1:4" x14ac:dyDescent="0.25">
      <c r="A9953" t="str">
        <f>T("   848180")</f>
        <v xml:space="preserve">   848180</v>
      </c>
      <c r="B9953" t="str">
        <f>T("   Articles de robinetterie et organes simil. pour tuyauteries, etc. (à l'excl. des détendeurs, valves pour transmissions oléohydrauliques ou pneumatiques, clapets et soupapes de retenue et sauf soupapes de trop-plein ou de sûreté)")</f>
        <v xml:space="preserve">   Articles de robinetterie et organes simil. pour tuyauteries, etc. (à l'excl. des détendeurs, valves pour transmissions oléohydrauliques ou pneumatiques, clapets et soupapes de retenue et sauf soupapes de trop-plein ou de sûreté)</v>
      </c>
      <c r="C9953">
        <v>309960</v>
      </c>
      <c r="D9953">
        <v>290</v>
      </c>
    </row>
    <row r="9954" spans="1:4" x14ac:dyDescent="0.25">
      <c r="A9954" t="str">
        <f>T("   850211")</f>
        <v xml:space="preserve">   850211</v>
      </c>
      <c r="B9954" t="s">
        <v>444</v>
      </c>
      <c r="C9954">
        <v>24799451</v>
      </c>
      <c r="D9954">
        <v>26145</v>
      </c>
    </row>
    <row r="9955" spans="1:4" x14ac:dyDescent="0.25">
      <c r="A9955" t="str">
        <f>T("   850212")</f>
        <v xml:space="preserve">   850212</v>
      </c>
      <c r="B9955" t="str">
        <f>T("   GROUPES ÉLECTROGÈNES À MOTEUR À PISTON À ALLUMAGE PAR COMPRESSION 'MOTEURS DIESEL OU SEMI-DIESEL', PUISSANCE &gt; 75 KVA MAIS &lt;= 375 KVA")</f>
        <v xml:space="preserve">   GROUPES ÉLECTROGÈNES À MOTEUR À PISTON À ALLUMAGE PAR COMPRESSION 'MOTEURS DIESEL OU SEMI-DIESEL', PUISSANCE &gt; 75 KVA MAIS &lt;= 375 KVA</v>
      </c>
      <c r="C9955">
        <v>26681543</v>
      </c>
      <c r="D9955">
        <v>4649</v>
      </c>
    </row>
    <row r="9956" spans="1:4" x14ac:dyDescent="0.25">
      <c r="A9956" t="str">
        <f>T("   850220")</f>
        <v xml:space="preserve">   850220</v>
      </c>
      <c r="B9956" t="s">
        <v>446</v>
      </c>
      <c r="C9956">
        <v>5594141</v>
      </c>
      <c r="D9956">
        <v>1229</v>
      </c>
    </row>
    <row r="9957" spans="1:4" x14ac:dyDescent="0.25">
      <c r="A9957" t="str">
        <f>T("   850239")</f>
        <v xml:space="preserve">   850239</v>
      </c>
      <c r="B9957" t="str">
        <f>T("   Groupes électrogènes (autres qu'à énergie éolienne et à moteurs à piston)")</f>
        <v xml:space="preserve">   Groupes électrogènes (autres qu'à énergie éolienne et à moteurs à piston)</v>
      </c>
      <c r="C9957">
        <v>20901198</v>
      </c>
      <c r="D9957">
        <v>4000</v>
      </c>
    </row>
    <row r="9958" spans="1:4" x14ac:dyDescent="0.25">
      <c r="A9958" t="str">
        <f>T("   850300")</f>
        <v xml:space="preserve">   850300</v>
      </c>
      <c r="B9958" t="str">
        <f>T("   Parties reconnaissables comme étant exclusivement ou principalement destinées aux moteurs et machines génératrices électriques, groupes électrogènes ou convertisseurs rotatifs électriques n.d.a.")</f>
        <v xml:space="preserve">   Parties reconnaissables comme étant exclusivement ou principalement destinées aux moteurs et machines génératrices électriques, groupes électrogènes ou convertisseurs rotatifs électriques n.d.a.</v>
      </c>
      <c r="C9958">
        <v>813556</v>
      </c>
      <c r="D9958">
        <v>4205</v>
      </c>
    </row>
    <row r="9959" spans="1:4" x14ac:dyDescent="0.25">
      <c r="A9959" t="str">
        <f>T("   850422")</f>
        <v xml:space="preserve">   850422</v>
      </c>
      <c r="B9959" t="str">
        <f>T("   Transformateurs à diélectrique liquide, puissance &gt; 650 kVA mais &lt;= 10.000 kVA")</f>
        <v xml:space="preserve">   Transformateurs à diélectrique liquide, puissance &gt; 650 kVA mais &lt;= 10.000 kVA</v>
      </c>
      <c r="C9959">
        <v>1147814</v>
      </c>
      <c r="D9959">
        <v>595</v>
      </c>
    </row>
    <row r="9960" spans="1:4" x14ac:dyDescent="0.25">
      <c r="A9960" t="str">
        <f>T("   850433")</f>
        <v xml:space="preserve">   850433</v>
      </c>
      <c r="B9960" t="str">
        <f>T("   Transformateurs à sec, puissance &gt; 16 kVA mais &lt;= 500 kVA")</f>
        <v xml:space="preserve">   Transformateurs à sec, puissance &gt; 16 kVA mais &lt;= 500 kVA</v>
      </c>
      <c r="C9960">
        <v>5019000</v>
      </c>
      <c r="D9960">
        <v>10792</v>
      </c>
    </row>
    <row r="9961" spans="1:4" x14ac:dyDescent="0.25">
      <c r="A9961" t="str">
        <f>T("   850610")</f>
        <v xml:space="preserve">   850610</v>
      </c>
      <c r="B9961" t="str">
        <f>T("   Piles et batteries de piles électriques, au bioxyde de manganèse (sauf hors d'usage)")</f>
        <v xml:space="preserve">   Piles et batteries de piles électriques, au bioxyde de manganèse (sauf hors d'usage)</v>
      </c>
      <c r="C9961">
        <v>92859004</v>
      </c>
      <c r="D9961">
        <v>415828</v>
      </c>
    </row>
    <row r="9962" spans="1:4" x14ac:dyDescent="0.25">
      <c r="A9962" t="str">
        <f>T("   850660")</f>
        <v xml:space="preserve">   850660</v>
      </c>
      <c r="B9962" t="str">
        <f>T("   Piles et batteries de piles électriques, à l'air-zinc (sauf hors d'usage)")</f>
        <v xml:space="preserve">   Piles et batteries de piles électriques, à l'air-zinc (sauf hors d'usage)</v>
      </c>
      <c r="C9962">
        <v>22550000</v>
      </c>
      <c r="D9962">
        <v>128640</v>
      </c>
    </row>
    <row r="9963" spans="1:4" x14ac:dyDescent="0.25">
      <c r="A9963" t="str">
        <f>T("   850680")</f>
        <v xml:space="preserve">   850680</v>
      </c>
      <c r="B9963" t="str">
        <f>T("   Piles et batteries de piles électriques (sauf hors d'usage et autres que piles et batteries à l'oxyde d'argent, de mercure, au bioxyde de manganèse, au lithium et à l'air-zinc)")</f>
        <v xml:space="preserve">   Piles et batteries de piles électriques (sauf hors d'usage et autres que piles et batteries à l'oxyde d'argent, de mercure, au bioxyde de manganèse, au lithium et à l'air-zinc)</v>
      </c>
      <c r="C9963">
        <v>119447896</v>
      </c>
      <c r="D9963">
        <v>925131</v>
      </c>
    </row>
    <row r="9964" spans="1:4" x14ac:dyDescent="0.25">
      <c r="A9964" t="str">
        <f>T("   850710")</f>
        <v xml:space="preserve">   850710</v>
      </c>
      <c r="B9964" t="str">
        <f>T("   Accumulateurs au plomb, pour le démarrage des moteurs à piston (sauf hors d'usage)")</f>
        <v xml:space="preserve">   Accumulateurs au plomb, pour le démarrage des moteurs à piston (sauf hors d'usage)</v>
      </c>
      <c r="C9964">
        <v>3234725</v>
      </c>
      <c r="D9964">
        <v>12618</v>
      </c>
    </row>
    <row r="9965" spans="1:4" x14ac:dyDescent="0.25">
      <c r="A9965" t="str">
        <f>T("   850720")</f>
        <v xml:space="preserve">   850720</v>
      </c>
      <c r="B9965" t="str">
        <f>T("   Accumulateurs au plomb (sauf hors d'usage et autres que pour le démarrage des moteurs à piston)")</f>
        <v xml:space="preserve">   Accumulateurs au plomb (sauf hors d'usage et autres que pour le démarrage des moteurs à piston)</v>
      </c>
      <c r="C9965">
        <v>137865</v>
      </c>
      <c r="D9965">
        <v>300</v>
      </c>
    </row>
    <row r="9966" spans="1:4" x14ac:dyDescent="0.25">
      <c r="A9966" t="str">
        <f>T("   850910")</f>
        <v xml:space="preserve">   850910</v>
      </c>
      <c r="B9966" t="str">
        <f>T("   Aspirateurs de poussières, y.c. les aspirateurs de matières sèches et de matières liquides, à moteur électrique incorporé, à usage domestique")</f>
        <v xml:space="preserve">   Aspirateurs de poussières, y.c. les aspirateurs de matières sèches et de matières liquides, à moteur électrique incorporé, à usage domestique</v>
      </c>
      <c r="C9966">
        <v>609230</v>
      </c>
      <c r="D9966">
        <v>800</v>
      </c>
    </row>
    <row r="9967" spans="1:4" x14ac:dyDescent="0.25">
      <c r="A9967" t="str">
        <f>T("   851220")</f>
        <v xml:space="preserve">   851220</v>
      </c>
      <c r="B9967" t="str">
        <f>T("   Appareils électriques d'éclairage ou de signalisation visuelle, pour automobiles (à l'excl. des lampes du n° 8539)")</f>
        <v xml:space="preserve">   Appareils électriques d'éclairage ou de signalisation visuelle, pour automobiles (à l'excl. des lampes du n° 8539)</v>
      </c>
      <c r="C9967">
        <v>74045</v>
      </c>
      <c r="D9967">
        <v>10100</v>
      </c>
    </row>
    <row r="9968" spans="1:4" x14ac:dyDescent="0.25">
      <c r="A9968" t="str">
        <f>T("   851310")</f>
        <v xml:space="preserve">   851310</v>
      </c>
      <c r="B9968" t="str">
        <f>T("   Lampes électriques portatives, destinées à fonctionner au moyen de leur propre source d'énergie")</f>
        <v xml:space="preserve">   Lampes électriques portatives, destinées à fonctionner au moyen de leur propre source d'énergie</v>
      </c>
      <c r="C9968">
        <v>11840385</v>
      </c>
      <c r="D9968">
        <v>57241</v>
      </c>
    </row>
    <row r="9969" spans="1:4" x14ac:dyDescent="0.25">
      <c r="A9969" t="str">
        <f>T("   851610")</f>
        <v xml:space="preserve">   851610</v>
      </c>
      <c r="B9969" t="str">
        <f>T("   Chauffe-eau et thermoplongeurs électriques")</f>
        <v xml:space="preserve">   Chauffe-eau et thermoplongeurs électriques</v>
      </c>
      <c r="C9969">
        <v>10923</v>
      </c>
      <c r="D9969">
        <v>50</v>
      </c>
    </row>
    <row r="9970" spans="1:4" x14ac:dyDescent="0.25">
      <c r="A9970" t="str">
        <f>T("   851640")</f>
        <v xml:space="preserve">   851640</v>
      </c>
      <c r="B9970" t="str">
        <f>T("   Fers à repasser électriques")</f>
        <v xml:space="preserve">   Fers à repasser électriques</v>
      </c>
      <c r="C9970">
        <v>2448537</v>
      </c>
      <c r="D9970">
        <v>11750</v>
      </c>
    </row>
    <row r="9971" spans="1:4" x14ac:dyDescent="0.25">
      <c r="A9971" t="str">
        <f>T("   851650")</f>
        <v xml:space="preserve">   851650</v>
      </c>
      <c r="B9971" t="str">
        <f>T("   Fours à micro-ondes")</f>
        <v xml:space="preserve">   Fours à micro-ondes</v>
      </c>
      <c r="C9971">
        <v>3827318</v>
      </c>
      <c r="D9971">
        <v>8920</v>
      </c>
    </row>
    <row r="9972" spans="1:4" x14ac:dyDescent="0.25">
      <c r="A9972" t="str">
        <f>T("   851660")</f>
        <v xml:space="preserve">   851660</v>
      </c>
      <c r="B9972" t="str">
        <f>T("   Fours, cuisinières, réchauds, tables de cuisson, grils et rôtissoires électriques, pour usages domestiques (sauf fours destinés au chauffage des locaux et fours à micro-ondes)")</f>
        <v xml:space="preserve">   Fours, cuisinières, réchauds, tables de cuisson, grils et rôtissoires électriques, pour usages domestiques (sauf fours destinés au chauffage des locaux et fours à micro-ondes)</v>
      </c>
      <c r="C9972">
        <v>28372</v>
      </c>
      <c r="D9972">
        <v>136</v>
      </c>
    </row>
    <row r="9973" spans="1:4" x14ac:dyDescent="0.25">
      <c r="A9973" t="str">
        <f>T("   851719")</f>
        <v xml:space="preserve">   851719</v>
      </c>
      <c r="B9973" t="str">
        <f>T("   Postes téléphoniques d'usagers pour la téléphonie par fil; visiophones (sauf postes téléphoniques d'usagers par fil à combinés sans fil et parlophones)")</f>
        <v xml:space="preserve">   Postes téléphoniques d'usagers pour la téléphonie par fil; visiophones (sauf postes téléphoniques d'usagers par fil à combinés sans fil et parlophones)</v>
      </c>
      <c r="C9973">
        <v>442799</v>
      </c>
      <c r="D9973">
        <v>335</v>
      </c>
    </row>
    <row r="9974" spans="1:4" x14ac:dyDescent="0.25">
      <c r="A9974" t="str">
        <f>T("   851790")</f>
        <v xml:space="preserve">   851790</v>
      </c>
      <c r="B9974" t="s">
        <v>454</v>
      </c>
      <c r="C9974">
        <v>1324975</v>
      </c>
      <c r="D9974">
        <v>680</v>
      </c>
    </row>
    <row r="9975" spans="1:4" x14ac:dyDescent="0.25">
      <c r="A9975" t="str">
        <f>T("   851829")</f>
        <v xml:space="preserve">   851829</v>
      </c>
      <c r="B9975" t="str">
        <f>T("   Haut-parleurs sans enceinte")</f>
        <v xml:space="preserve">   Haut-parleurs sans enceinte</v>
      </c>
      <c r="C9975">
        <v>2190871</v>
      </c>
      <c r="D9975">
        <v>6340</v>
      </c>
    </row>
    <row r="9976" spans="1:4" x14ac:dyDescent="0.25">
      <c r="A9976" t="str">
        <f>T("   851830")</f>
        <v xml:space="preserve">   851830</v>
      </c>
      <c r="B9976" t="s">
        <v>455</v>
      </c>
      <c r="C9976">
        <v>956342</v>
      </c>
      <c r="D9976">
        <v>9080</v>
      </c>
    </row>
    <row r="9977" spans="1:4" x14ac:dyDescent="0.25">
      <c r="A9977" t="str">
        <f>T("   851840")</f>
        <v xml:space="preserve">   851840</v>
      </c>
      <c r="B9977" t="str">
        <f>T("   Amplificateurs électriques d'audiofréquence")</f>
        <v xml:space="preserve">   Amplificateurs électriques d'audiofréquence</v>
      </c>
      <c r="C9977">
        <v>62261</v>
      </c>
      <c r="D9977">
        <v>15</v>
      </c>
    </row>
    <row r="9978" spans="1:4" x14ac:dyDescent="0.25">
      <c r="A9978" t="str">
        <f>T("   851850")</f>
        <v xml:space="preserve">   851850</v>
      </c>
      <c r="B9978" t="str">
        <f>T("   Appareils électriques d'amplification du son")</f>
        <v xml:space="preserve">   Appareils électriques d'amplification du son</v>
      </c>
      <c r="C9978">
        <v>43692</v>
      </c>
      <c r="D9978">
        <v>75</v>
      </c>
    </row>
    <row r="9979" spans="1:4" x14ac:dyDescent="0.25">
      <c r="A9979" t="str">
        <f>T("   851999")</f>
        <v xml:space="preserve">   851999</v>
      </c>
      <c r="B9979" t="str">
        <f>T("   Appareils de reproduction du son, n'incorporant pas de dispositif d'enregistrement du son (autres que tourne-disques, électrophones commandés par l'introduction d'une pièce de monnaie ou d'un jeton, machines à dicter et lecteurs de cassettes)")</f>
        <v xml:space="preserve">   Appareils de reproduction du son, n'incorporant pas de dispositif d'enregistrement du son (autres que tourne-disques, électrophones commandés par l'introduction d'une pièce de monnaie ou d'un jeton, machines à dicter et lecteurs de cassettes)</v>
      </c>
      <c r="C9979">
        <v>300000</v>
      </c>
      <c r="D9979">
        <v>1200</v>
      </c>
    </row>
    <row r="9980" spans="1:4" x14ac:dyDescent="0.25">
      <c r="A9980" t="str">
        <f>T("   852090")</f>
        <v xml:space="preserve">   852090</v>
      </c>
      <c r="B9980" t="str">
        <f>T("   Appareils d'enregistrement du son, incorporant également un dispositif de reproduction du son (autres qu'appareils d'enregistrement et de reproduction du son utilisant des bandes magnétiques sur bobines)")</f>
        <v xml:space="preserve">   Appareils d'enregistrement du son, incorporant également un dispositif de reproduction du son (autres qu'appareils d'enregistrement et de reproduction du son utilisant des bandes magnétiques sur bobines)</v>
      </c>
      <c r="C9980">
        <v>689241</v>
      </c>
      <c r="D9980">
        <v>735</v>
      </c>
    </row>
    <row r="9981" spans="1:4" x14ac:dyDescent="0.25">
      <c r="A9981" t="str">
        <f>T("   852110")</f>
        <v xml:space="preserve">   852110</v>
      </c>
      <c r="B9981" t="s">
        <v>457</v>
      </c>
      <c r="C9981">
        <v>43692</v>
      </c>
      <c r="D9981">
        <v>30</v>
      </c>
    </row>
    <row r="9982" spans="1:4" x14ac:dyDescent="0.25">
      <c r="A9982" t="str">
        <f>T("   852190")</f>
        <v xml:space="preserve">   852190</v>
      </c>
      <c r="B9982" t="s">
        <v>458</v>
      </c>
      <c r="C9982">
        <v>16729954</v>
      </c>
      <c r="D9982">
        <v>125560</v>
      </c>
    </row>
    <row r="9983" spans="1:4" x14ac:dyDescent="0.25">
      <c r="A9983" t="str">
        <f>T("   852432")</f>
        <v xml:space="preserve">   852432</v>
      </c>
      <c r="B9983" t="str">
        <f>T("   Disques enregistrés pour systèmes de lecture optique par faisceau laser, pour la reproduction du son uniquement")</f>
        <v xml:space="preserve">   Disques enregistrés pour systèmes de lecture optique par faisceau laser, pour la reproduction du son uniquement</v>
      </c>
      <c r="C9983">
        <v>174768</v>
      </c>
      <c r="D9983">
        <v>130</v>
      </c>
    </row>
    <row r="9984" spans="1:4" x14ac:dyDescent="0.25">
      <c r="A9984" t="str">
        <f>T("   852520")</f>
        <v xml:space="preserve">   852520</v>
      </c>
      <c r="B9984" t="str">
        <f>T("   Appareils d'émission incorporant un appareil de réception, pour la radiotéléphonie, la radiotélégraphie, la radiodiffusion ou la télévision")</f>
        <v xml:space="preserve">   Appareils d'émission incorporant un appareil de réception, pour la radiotéléphonie, la radiotélégraphie, la radiodiffusion ou la télévision</v>
      </c>
      <c r="C9984">
        <v>500000</v>
      </c>
      <c r="D9984">
        <v>1300</v>
      </c>
    </row>
    <row r="9985" spans="1:4" x14ac:dyDescent="0.25">
      <c r="A9985" t="str">
        <f>T("   852540")</f>
        <v xml:space="preserve">   852540</v>
      </c>
      <c r="B9985" t="str">
        <f>T("   Appareils de prise de vues fixes vidéo et autres caméscopes; appareils photographiques numériques")</f>
        <v xml:space="preserve">   Appareils de prise de vues fixes vidéo et autres caméscopes; appareils photographiques numériques</v>
      </c>
      <c r="C9985">
        <v>3849556</v>
      </c>
      <c r="D9985">
        <v>1360</v>
      </c>
    </row>
    <row r="9986" spans="1:4" x14ac:dyDescent="0.25">
      <c r="A9986" t="str">
        <f>T("   852712")</f>
        <v xml:space="preserve">   852712</v>
      </c>
      <c r="B9986" t="str">
        <f>T("   Radiocassettes de poche [dimensions &lt;= 170 mm x 100 mm x 45 mm], avec amplificateur incorporé, sans haut-parleur incorporé, pouvant fonctionner sans source d'énergie électrique extérieure")</f>
        <v xml:space="preserve">   Radiocassettes de poche [dimensions &lt;= 170 mm x 100 mm x 45 mm], avec amplificateur incorporé, sans haut-parleur incorporé, pouvant fonctionner sans source d'énergie électrique extérieure</v>
      </c>
      <c r="C9986">
        <v>200000</v>
      </c>
      <c r="D9986">
        <v>800</v>
      </c>
    </row>
    <row r="9987" spans="1:4" x14ac:dyDescent="0.25">
      <c r="A9987" t="str">
        <f>T("   852719")</f>
        <v xml:space="preserve">   852719</v>
      </c>
      <c r="B9987" t="str">
        <f>T("   Récepteurs de radiodiffusion pouvant fonctionner sans source d'énergie extérieure, y.c. les appareils recevant également la radiotéléphonie ou la radiotélégraphie, non combinés à un appareil d'enregistrement et de reproduction du son")</f>
        <v xml:space="preserve">   Récepteurs de radiodiffusion pouvant fonctionner sans source d'énergie extérieure, y.c. les appareils recevant également la radiotéléphonie ou la radiotélégraphie, non combinés à un appareil d'enregistrement et de reproduction du son</v>
      </c>
      <c r="C9987">
        <v>1187131</v>
      </c>
      <c r="D9987">
        <v>2985</v>
      </c>
    </row>
    <row r="9988" spans="1:4" x14ac:dyDescent="0.25">
      <c r="A9988" t="str">
        <f>T("   852812")</f>
        <v xml:space="preserve">   852812</v>
      </c>
      <c r="B9988"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9988">
        <v>15607586</v>
      </c>
      <c r="D9988">
        <v>19846.79</v>
      </c>
    </row>
    <row r="9989" spans="1:4" x14ac:dyDescent="0.25">
      <c r="A9989" t="str">
        <f>T("   852813")</f>
        <v xml:space="preserve">   852813</v>
      </c>
      <c r="B9989" t="str">
        <f>T("   Appareils récepteurs pour la télévision en noir et blanc ou en autres monochromes, même incorporant un appareil récepteur de radiodiffusion ou un appareil d'enregistrement ou de reproduction du son ou des images")</f>
        <v xml:space="preserve">   Appareils récepteurs pour la télévision en noir et blanc ou en autres monochromes, même incorporant un appareil récepteur de radiodiffusion ou un appareil d'enregistrement ou de reproduction du son ou des images</v>
      </c>
      <c r="C9989">
        <v>32769</v>
      </c>
      <c r="D9989">
        <v>60</v>
      </c>
    </row>
    <row r="9990" spans="1:4" x14ac:dyDescent="0.25">
      <c r="A9990" t="str">
        <f>T("   852820")</f>
        <v xml:space="preserve">   852820</v>
      </c>
      <c r="B9990" t="s">
        <v>465</v>
      </c>
      <c r="C9990">
        <v>19696</v>
      </c>
      <c r="D9990">
        <v>80</v>
      </c>
    </row>
    <row r="9991" spans="1:4" x14ac:dyDescent="0.25">
      <c r="A9991" t="str">
        <f>T("   852821")</f>
        <v xml:space="preserve">   852821</v>
      </c>
      <c r="B9991" t="str">
        <f>T("   Moniteurs vidéo en couleurs")</f>
        <v xml:space="preserve">   Moniteurs vidéo en couleurs</v>
      </c>
      <c r="C9991">
        <v>500000</v>
      </c>
      <c r="D9991">
        <v>2374</v>
      </c>
    </row>
    <row r="9992" spans="1:4" x14ac:dyDescent="0.25">
      <c r="A9992" t="str">
        <f>T("   852910")</f>
        <v xml:space="preserve">   852910</v>
      </c>
      <c r="B9992" t="str">
        <f>T("   Antennes et réflecteurs d'antennes de tous types; parties reconnaissables comme étant utilisées conjointement avec ces articles, n.d.a.")</f>
        <v xml:space="preserve">   Antennes et réflecteurs d'antennes de tous types; parties reconnaissables comme étant utilisées conjointement avec ces articles, n.d.a.</v>
      </c>
      <c r="C9992">
        <v>89716</v>
      </c>
      <c r="D9992">
        <v>285</v>
      </c>
    </row>
    <row r="9993" spans="1:4" x14ac:dyDescent="0.25">
      <c r="A9993" t="str">
        <f>T("   852990")</f>
        <v xml:space="preserve">   852990</v>
      </c>
      <c r="B9993" t="s">
        <v>466</v>
      </c>
      <c r="C9993">
        <v>44280</v>
      </c>
      <c r="D9993">
        <v>40</v>
      </c>
    </row>
    <row r="9994" spans="1:4" x14ac:dyDescent="0.25">
      <c r="A9994" t="str">
        <f>T("   853610")</f>
        <v xml:space="preserve">   853610</v>
      </c>
      <c r="B9994" t="str">
        <f>T("   Fusibles et coupe-circuit à fusibles, pour une tension &lt;= 1.000 V")</f>
        <v xml:space="preserve">   Fusibles et coupe-circuit à fusibles, pour une tension &lt;= 1.000 V</v>
      </c>
      <c r="C9994">
        <v>98307</v>
      </c>
      <c r="D9994">
        <v>155</v>
      </c>
    </row>
    <row r="9995" spans="1:4" x14ac:dyDescent="0.25">
      <c r="A9995" t="str">
        <f>T("   853620")</f>
        <v xml:space="preserve">   853620</v>
      </c>
      <c r="B9995" t="str">
        <f>T("   Disjoncteurs, pour une tension &lt;= 1.000 V")</f>
        <v xml:space="preserve">   Disjoncteurs, pour une tension &lt;= 1.000 V</v>
      </c>
      <c r="C9995">
        <v>232444</v>
      </c>
      <c r="D9995">
        <v>1781</v>
      </c>
    </row>
    <row r="9996" spans="1:4" x14ac:dyDescent="0.25">
      <c r="A9996" t="str">
        <f>T("   853649")</f>
        <v xml:space="preserve">   853649</v>
      </c>
      <c r="B9996" t="str">
        <f>T("   Relais, pour une tension &gt; 60 V mais &lt;= 1.000 V")</f>
        <v xml:space="preserve">   Relais, pour une tension &gt; 60 V mais &lt;= 1.000 V</v>
      </c>
      <c r="C9996">
        <v>500000</v>
      </c>
      <c r="D9996">
        <v>3769</v>
      </c>
    </row>
    <row r="9997" spans="1:4" x14ac:dyDescent="0.25">
      <c r="A9997" t="str">
        <f>T("   853650")</f>
        <v xml:space="preserve">   853650</v>
      </c>
      <c r="B9997" t="str">
        <f>T("   Interrupteurs, sectionneurs et commutateurs, pour une tension &lt;= 1.000 V (autres que relais et disjoncteurs)")</f>
        <v xml:space="preserve">   Interrupteurs, sectionneurs et commutateurs, pour une tension &lt;= 1.000 V (autres que relais et disjoncteurs)</v>
      </c>
      <c r="C9997">
        <v>737093</v>
      </c>
      <c r="D9997">
        <v>6840</v>
      </c>
    </row>
    <row r="9998" spans="1:4" x14ac:dyDescent="0.25">
      <c r="A9998" t="str">
        <f>T("   853669")</f>
        <v xml:space="preserve">   853669</v>
      </c>
      <c r="B9998" t="str">
        <f>T("   Fiches et prises de courant, pour une tension &lt;= 1.000 V (sauf douilles pour lampes)")</f>
        <v xml:space="preserve">   Fiches et prises de courant, pour une tension &lt;= 1.000 V (sauf douilles pour lampes)</v>
      </c>
      <c r="C9998">
        <v>189200</v>
      </c>
      <c r="D9998">
        <v>539</v>
      </c>
    </row>
    <row r="9999" spans="1:4" x14ac:dyDescent="0.25">
      <c r="A9999" t="str">
        <f>T("   853690")</f>
        <v xml:space="preserve">   853690</v>
      </c>
      <c r="B9999" t="s">
        <v>469</v>
      </c>
      <c r="C9999">
        <v>4367655</v>
      </c>
      <c r="D9999">
        <v>22876</v>
      </c>
    </row>
    <row r="10000" spans="1:4" x14ac:dyDescent="0.25">
      <c r="A10000" t="str">
        <f>T("   853890")</f>
        <v xml:space="preserve">   853890</v>
      </c>
      <c r="B10000" t="s">
        <v>470</v>
      </c>
      <c r="C10000">
        <v>680393</v>
      </c>
      <c r="D10000">
        <v>2950</v>
      </c>
    </row>
    <row r="10001" spans="1:4" x14ac:dyDescent="0.25">
      <c r="A10001" t="str">
        <f>T("   853910")</f>
        <v xml:space="preserve">   853910</v>
      </c>
      <c r="B10001" t="str">
        <f>T("   Phares et projecteurs scellés")</f>
        <v xml:space="preserve">   Phares et projecteurs scellés</v>
      </c>
      <c r="C10001">
        <v>54615</v>
      </c>
      <c r="D10001">
        <v>600</v>
      </c>
    </row>
    <row r="10002" spans="1:4" x14ac:dyDescent="0.25">
      <c r="A10002" t="str">
        <f>T("   853929")</f>
        <v xml:space="preserve">   853929</v>
      </c>
      <c r="B10002" t="str">
        <f>T("   Lampes et tubes à incandescence électriques (autres que lampes et tubes halogènes, au tungstène, lampes d'une puissance &lt;= 200 W et pour une tension &gt; 100 V, et lampes à rayons ultraviolets ou infrarouges)")</f>
        <v xml:space="preserve">   Lampes et tubes à incandescence électriques (autres que lampes et tubes halogènes, au tungstène, lampes d'une puissance &lt;= 200 W et pour une tension &gt; 100 V, et lampes à rayons ultraviolets ou infrarouges)</v>
      </c>
      <c r="C10002">
        <v>1898367</v>
      </c>
      <c r="D10002">
        <v>9597</v>
      </c>
    </row>
    <row r="10003" spans="1:4" x14ac:dyDescent="0.25">
      <c r="A10003" t="str">
        <f>T("   853931")</f>
        <v xml:space="preserve">   853931</v>
      </c>
      <c r="B10003" t="str">
        <f>T("   Lampes et tubes à décharge, fluorescents, à cathode chaude")</f>
        <v xml:space="preserve">   Lampes et tubes à décharge, fluorescents, à cathode chaude</v>
      </c>
      <c r="C10003">
        <v>9500000</v>
      </c>
      <c r="D10003">
        <v>19880</v>
      </c>
    </row>
    <row r="10004" spans="1:4" x14ac:dyDescent="0.25">
      <c r="A10004" t="str">
        <f>T("   853949")</f>
        <v xml:space="preserve">   853949</v>
      </c>
      <c r="B10004" t="str">
        <f>T("   Lampes et tubes à rayons ultraviolets ou infrarouges")</f>
        <v xml:space="preserve">   Lampes et tubes à rayons ultraviolets ou infrarouges</v>
      </c>
      <c r="C10004">
        <v>300000</v>
      </c>
      <c r="D10004">
        <v>1160</v>
      </c>
    </row>
    <row r="10005" spans="1:4" x14ac:dyDescent="0.25">
      <c r="A10005" t="str">
        <f>T("   854451")</f>
        <v xml:space="preserve">   854451</v>
      </c>
      <c r="B10005" t="str">
        <f>T("   Conducteurs électriques, pour tension &gt; 80 V mais &lt;= 1.000 V, avec pièces de connexion, n.d.a.")</f>
        <v xml:space="preserve">   Conducteurs électriques, pour tension &gt; 80 V mais &lt;= 1.000 V, avec pièces de connexion, n.d.a.</v>
      </c>
      <c r="C10005">
        <v>1300000</v>
      </c>
      <c r="D10005">
        <v>7300</v>
      </c>
    </row>
    <row r="10006" spans="1:4" x14ac:dyDescent="0.25">
      <c r="A10006" t="str">
        <f>T("   854459")</f>
        <v xml:space="preserve">   854459</v>
      </c>
      <c r="B10006" t="str">
        <f>T("   Conducteurs électriques, pour tension &gt; 80 V mais &lt;= 1.000 V, sans pièces de connexion, n.d.a.")</f>
        <v xml:space="preserve">   Conducteurs électriques, pour tension &gt; 80 V mais &lt;= 1.000 V, sans pièces de connexion, n.d.a.</v>
      </c>
      <c r="C10006">
        <v>8959337</v>
      </c>
      <c r="D10006">
        <v>7691</v>
      </c>
    </row>
    <row r="10007" spans="1:4" x14ac:dyDescent="0.25">
      <c r="A10007" t="str">
        <f>T("   854620")</f>
        <v xml:space="preserve">   854620</v>
      </c>
      <c r="B10007" t="str">
        <f>T("   Isolateurs en céramique, pour l'électricité (sauf pièces isolantes)")</f>
        <v xml:space="preserve">   Isolateurs en céramique, pour l'électricité (sauf pièces isolantes)</v>
      </c>
      <c r="C10007">
        <v>738007</v>
      </c>
      <c r="D10007">
        <v>570</v>
      </c>
    </row>
    <row r="10008" spans="1:4" x14ac:dyDescent="0.25">
      <c r="A10008" t="str">
        <f>T("   854790")</f>
        <v xml:space="preserve">   854790</v>
      </c>
      <c r="B10008" t="str">
        <f>T("   Pièces isolantes, pour usages électriques (autres qu'en céramique ou en matières plastiques, et que tubes isolateurs et leurs pièces de raccordement, en métaux communs, isolés intérieurement)")</f>
        <v xml:space="preserve">   Pièces isolantes, pour usages électriques (autres qu'en céramique ou en matières plastiques, et que tubes isolateurs et leurs pièces de raccordement, en métaux communs, isolés intérieurement)</v>
      </c>
      <c r="C10008">
        <v>1000000</v>
      </c>
      <c r="D10008">
        <v>2000</v>
      </c>
    </row>
    <row r="10009" spans="1:4" x14ac:dyDescent="0.25">
      <c r="A10009" t="str">
        <f>T("   870120")</f>
        <v xml:space="preserve">   870120</v>
      </c>
      <c r="B10009" t="str">
        <f>T("   Tracteurs routiers pour semi-remorques")</f>
        <v xml:space="preserve">   Tracteurs routiers pour semi-remorques</v>
      </c>
      <c r="C10009">
        <v>311004328</v>
      </c>
      <c r="D10009">
        <v>562748</v>
      </c>
    </row>
    <row r="10010" spans="1:4" x14ac:dyDescent="0.25">
      <c r="A10010" t="str">
        <f>T("   870190")</f>
        <v xml:space="preserve">   870190</v>
      </c>
      <c r="B10010" t="str">
        <f>T("   Tracteurs (à l'excl. des chariots-tracteurs du n° 8709, ainsi que des motoculteurs, tracteurs routiers pour semi-remorques et tracteurs à chenilles)")</f>
        <v xml:space="preserve">   Tracteurs (à l'excl. des chariots-tracteurs du n° 8709, ainsi que des motoculteurs, tracteurs routiers pour semi-remorques et tracteurs à chenilles)</v>
      </c>
      <c r="C10010">
        <v>27911261</v>
      </c>
      <c r="D10010">
        <v>33082</v>
      </c>
    </row>
    <row r="10011" spans="1:4" x14ac:dyDescent="0.25">
      <c r="A10011" t="str">
        <f>T("   870210")</f>
        <v xml:space="preserve">   870210</v>
      </c>
      <c r="B10011" t="s">
        <v>472</v>
      </c>
      <c r="C10011">
        <v>75191483</v>
      </c>
      <c r="D10011">
        <v>71901</v>
      </c>
    </row>
    <row r="10012" spans="1:4" x14ac:dyDescent="0.25">
      <c r="A10012" t="str">
        <f>T("   870290")</f>
        <v xml:space="preserve">   870290</v>
      </c>
      <c r="B10012" t="s">
        <v>473</v>
      </c>
      <c r="C10012">
        <v>15937541</v>
      </c>
      <c r="D10012">
        <v>14988</v>
      </c>
    </row>
    <row r="10013" spans="1:4" x14ac:dyDescent="0.25">
      <c r="A10013" t="str">
        <f>T("   870322")</f>
        <v xml:space="preserve">   870322</v>
      </c>
      <c r="B10013" t="s">
        <v>475</v>
      </c>
      <c r="C10013">
        <v>265225816</v>
      </c>
      <c r="D10013">
        <v>126735.8</v>
      </c>
    </row>
    <row r="10014" spans="1:4" x14ac:dyDescent="0.25">
      <c r="A10014" t="str">
        <f>T("   870323")</f>
        <v xml:space="preserve">   870323</v>
      </c>
      <c r="B10014" t="s">
        <v>476</v>
      </c>
      <c r="C10014">
        <v>77582769</v>
      </c>
      <c r="D10014">
        <v>37427</v>
      </c>
    </row>
    <row r="10015" spans="1:4" x14ac:dyDescent="0.25">
      <c r="A10015" t="str">
        <f>T("   870324")</f>
        <v xml:space="preserve">   870324</v>
      </c>
      <c r="B10015" t="s">
        <v>477</v>
      </c>
      <c r="C10015">
        <v>3473104</v>
      </c>
      <c r="D10015">
        <v>2480</v>
      </c>
    </row>
    <row r="10016" spans="1:4" x14ac:dyDescent="0.25">
      <c r="A10016" t="str">
        <f>T("   870332")</f>
        <v xml:space="preserve">   870332</v>
      </c>
      <c r="B10016" t="s">
        <v>479</v>
      </c>
      <c r="C10016">
        <v>81468000</v>
      </c>
      <c r="D10016">
        <v>4510</v>
      </c>
    </row>
    <row r="10017" spans="1:4" x14ac:dyDescent="0.25">
      <c r="A10017" t="str">
        <f>T("   870333")</f>
        <v xml:space="preserve">   870333</v>
      </c>
      <c r="B10017" t="s">
        <v>480</v>
      </c>
      <c r="C10017">
        <v>11741861</v>
      </c>
      <c r="D10017">
        <v>11295</v>
      </c>
    </row>
    <row r="10018" spans="1:4" x14ac:dyDescent="0.25">
      <c r="A10018" t="str">
        <f>T("   870410")</f>
        <v xml:space="preserve">   870410</v>
      </c>
      <c r="B10018" t="str">
        <f>T("   Tombereaux automoteurs utilisés en dehors du réseau routier")</f>
        <v xml:space="preserve">   Tombereaux automoteurs utilisés en dehors du réseau routier</v>
      </c>
      <c r="C10018">
        <v>60000000</v>
      </c>
      <c r="D10018">
        <v>14000</v>
      </c>
    </row>
    <row r="10019" spans="1:4" x14ac:dyDescent="0.25">
      <c r="A10019" t="str">
        <f>T("   870421")</f>
        <v xml:space="preserve">   870421</v>
      </c>
      <c r="B10019" t="s">
        <v>481</v>
      </c>
      <c r="C10019">
        <v>118211770</v>
      </c>
      <c r="D10019">
        <v>223140</v>
      </c>
    </row>
    <row r="10020" spans="1:4" x14ac:dyDescent="0.25">
      <c r="A10020" t="str">
        <f>T("   870422")</f>
        <v xml:space="preserve">   870422</v>
      </c>
      <c r="B10020" t="s">
        <v>482</v>
      </c>
      <c r="C10020">
        <v>39688054</v>
      </c>
      <c r="D10020">
        <v>119496</v>
      </c>
    </row>
    <row r="10021" spans="1:4" x14ac:dyDescent="0.25">
      <c r="A10021" t="str">
        <f>T("   870423")</f>
        <v xml:space="preserve">   870423</v>
      </c>
      <c r="B10021" t="s">
        <v>483</v>
      </c>
      <c r="C10021">
        <v>3245905</v>
      </c>
      <c r="D10021">
        <v>27000</v>
      </c>
    </row>
    <row r="10022" spans="1:4" x14ac:dyDescent="0.25">
      <c r="A10022" t="str">
        <f>T("   870431")</f>
        <v xml:space="preserve">   870431</v>
      </c>
      <c r="B10022" t="s">
        <v>484</v>
      </c>
      <c r="C10022">
        <v>75122936</v>
      </c>
      <c r="D10022">
        <v>12134</v>
      </c>
    </row>
    <row r="10023" spans="1:4" x14ac:dyDescent="0.25">
      <c r="A10023" t="str">
        <f>T("   870490")</f>
        <v xml:space="preserve">   870490</v>
      </c>
      <c r="B10023" t="str">
        <f>T("   Véhicules automobiles pour le transport de marchandises à moteur autre qu'à piston à allumage par étincelles ou moteur diesel ou semi-diesel (sauf tombereaux automoteurs du n° 8704.10, véhicules automobiles à usages spéciaux du n° 8705)")</f>
        <v xml:space="preserve">   Véhicules automobiles pour le transport de marchandises à moteur autre qu'à piston à allumage par étincelles ou moteur diesel ou semi-diesel (sauf tombereaux automoteurs du n° 8704.10, véhicules automobiles à usages spéciaux du n° 8705)</v>
      </c>
      <c r="C10023">
        <v>737995</v>
      </c>
      <c r="D10023">
        <v>2000</v>
      </c>
    </row>
    <row r="10024" spans="1:4" x14ac:dyDescent="0.25">
      <c r="A10024" t="str">
        <f>T("   870510")</f>
        <v xml:space="preserve">   870510</v>
      </c>
      <c r="B10024" t="str">
        <f>T("   Camions-grues (sauf dépanneuses)")</f>
        <v xml:space="preserve">   Camions-grues (sauf dépanneuses)</v>
      </c>
      <c r="C10024">
        <v>3247123</v>
      </c>
      <c r="D10024">
        <v>28030</v>
      </c>
    </row>
    <row r="10025" spans="1:4" x14ac:dyDescent="0.25">
      <c r="A10025" t="str">
        <f>T("   870590")</f>
        <v xml:space="preserve">   870590</v>
      </c>
      <c r="B10025" t="s">
        <v>486</v>
      </c>
      <c r="C10025">
        <v>1634427</v>
      </c>
      <c r="D10025">
        <v>12700</v>
      </c>
    </row>
    <row r="10026" spans="1:4" x14ac:dyDescent="0.25">
      <c r="A10026" t="str">
        <f>T("   870710")</f>
        <v xml:space="preserve">   870710</v>
      </c>
      <c r="B10026" t="str">
        <f>T("   Carrosseries pour voitures de tourisme")</f>
        <v xml:space="preserve">   Carrosseries pour voitures de tourisme</v>
      </c>
      <c r="C10026">
        <v>295203</v>
      </c>
      <c r="D10026">
        <v>4000</v>
      </c>
    </row>
    <row r="10027" spans="1:4" x14ac:dyDescent="0.25">
      <c r="A10027" t="str">
        <f>T("   870810")</f>
        <v xml:space="preserve">   870810</v>
      </c>
      <c r="B10027" t="str">
        <f>T("   PARE-CHOCS ET LEURS PARTIES DE TRACTEURS, VÉHICULES POUR LE TRANSPORT DE &gt;= 10 PERSONNES, CHAUFFEUR INCLUS, VOITURES DE TOURISME, VÉHICULES POUR LE TRANSPORT DE MARCHANDISES ET VÉHICULES À USAGES SPÉCIAUX DU N° 8701 À 8705, N.D.A")</f>
        <v xml:space="preserve">   PARE-CHOCS ET LEURS PARTIES DE TRACTEURS, VÉHICULES POUR LE TRANSPORT DE &gt;= 10 PERSONNES, CHAUFFEUR INCLUS, VOITURES DE TOURISME, VÉHICULES POUR LE TRANSPORT DE MARCHANDISES ET VÉHICULES À USAGES SPÉCIAUX DU N° 8701 À 8705, N.D.A</v>
      </c>
      <c r="C10027">
        <v>3595203</v>
      </c>
      <c r="D10027">
        <v>11700</v>
      </c>
    </row>
    <row r="10028" spans="1:4" x14ac:dyDescent="0.25">
      <c r="A10028" t="str">
        <f>T("   870829")</f>
        <v xml:space="preserve">   870829</v>
      </c>
      <c r="B10028" t="s">
        <v>488</v>
      </c>
      <c r="C10028">
        <v>118078</v>
      </c>
      <c r="D10028">
        <v>750</v>
      </c>
    </row>
    <row r="10029" spans="1:4" x14ac:dyDescent="0.25">
      <c r="A10029" t="str">
        <f>T("   870850")</f>
        <v xml:space="preserve">   870850</v>
      </c>
      <c r="B10029" t="s">
        <v>489</v>
      </c>
      <c r="C10029">
        <v>309963</v>
      </c>
      <c r="D10029">
        <v>9000</v>
      </c>
    </row>
    <row r="10030" spans="1:4" x14ac:dyDescent="0.25">
      <c r="A10030" t="str">
        <f>T("   870870")</f>
        <v xml:space="preserve">   870870</v>
      </c>
      <c r="B10030" t="str">
        <f>T("   ROUES, LEURS PARTIES ET ACCESSOIRES POUR TRACTEURS, VÉHICULES POUR LE TRANSPORT DE &gt;= 10 PERSONNES, CHAUFFEUR INCLUS, VOITURES DE TOURISME, VÉHICULES POUR LE TRANSPORT DE MARCHANDISES ET VÉHICULES À USAGES SPÉCIAUX, N.D.A.")</f>
        <v xml:space="preserve">   ROUES, LEURS PARTIES ET ACCESSOIRES POUR TRACTEURS, VÉHICULES POUR LE TRANSPORT DE &gt;= 10 PERSONNES, CHAUFFEUR INCLUS, VOITURES DE TOURISME, VÉHICULES POUR LE TRANSPORT DE MARCHANDISES ET VÉHICULES À USAGES SPÉCIAUX, N.D.A.</v>
      </c>
      <c r="C10030">
        <v>3877122</v>
      </c>
      <c r="D10030">
        <v>2725</v>
      </c>
    </row>
    <row r="10031" spans="1:4" x14ac:dyDescent="0.25">
      <c r="A10031" t="str">
        <f>T("   870894")</f>
        <v xml:space="preserve">   870894</v>
      </c>
      <c r="B10031" t="s">
        <v>491</v>
      </c>
      <c r="C10031">
        <v>88561</v>
      </c>
      <c r="D10031">
        <v>200</v>
      </c>
    </row>
    <row r="10032" spans="1:4" x14ac:dyDescent="0.25">
      <c r="A10032" t="str">
        <f>T("   870899")</f>
        <v xml:space="preserve">   870899</v>
      </c>
      <c r="B10032"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10032">
        <v>4161298</v>
      </c>
      <c r="D10032">
        <v>14652</v>
      </c>
    </row>
    <row r="10033" spans="1:4" x14ac:dyDescent="0.25">
      <c r="A10033" t="str">
        <f>T("   870919")</f>
        <v xml:space="preserve">   870919</v>
      </c>
      <c r="B10033" t="str">
        <f>T("   CHARIOTS AUTOMOBILES NON-ÉLECTRIQUES, NON-MUNIS D'UN DISPOSITIF DE LEVAGE, DES TYPES UTILISÉS POUR LE TRANSPORT DES MARCHANDISES SUR DE COURTES DISTANCES, Y.C. LES CHARIOTS-TRACTEURS DES TYPES UTILISÉS DANS LES GARES")</f>
        <v xml:space="preserve">   CHARIOTS AUTOMOBILES NON-ÉLECTRIQUES, NON-MUNIS D'UN DISPOSITIF DE LEVAGE, DES TYPES UTILISÉS POUR LE TRANSPORT DES MARCHANDISES SUR DE COURTES DISTANCES, Y.C. LES CHARIOTS-TRACTEURS DES TYPES UTILISÉS DANS LES GARES</v>
      </c>
      <c r="C10033">
        <v>1500000</v>
      </c>
      <c r="D10033">
        <v>4240</v>
      </c>
    </row>
    <row r="10034" spans="1:4" x14ac:dyDescent="0.25">
      <c r="A10034" t="str">
        <f>T("   871110")</f>
        <v xml:space="preserve">   871110</v>
      </c>
      <c r="B10034" t="str">
        <f>T("   Cyclomoteurs, à moteur à piston alternatif, cylindrée &lt;= 50 cm³, y.c. cycles à moteur auxiliaire")</f>
        <v xml:space="preserve">   Cyclomoteurs, à moteur à piston alternatif, cylindrée &lt;= 50 cm³, y.c. cycles à moteur auxiliaire</v>
      </c>
      <c r="C10034">
        <v>6669412</v>
      </c>
      <c r="D10034">
        <v>25410</v>
      </c>
    </row>
    <row r="10035" spans="1:4" x14ac:dyDescent="0.25">
      <c r="A10035" t="str">
        <f>T("   871120")</f>
        <v xml:space="preserve">   871120</v>
      </c>
      <c r="B10035" t="str">
        <f>T("   Motocycles à moteur à piston alternatif, cylindrée &gt; 50 cm³ mais &lt;= 250 cm³")</f>
        <v xml:space="preserve">   Motocycles à moteur à piston alternatif, cylindrée &gt; 50 cm³ mais &lt;= 250 cm³</v>
      </c>
      <c r="C10035">
        <v>1086009430</v>
      </c>
      <c r="D10035">
        <v>775241</v>
      </c>
    </row>
    <row r="10036" spans="1:4" x14ac:dyDescent="0.25">
      <c r="A10036" t="str">
        <f>T("   871130")</f>
        <v xml:space="preserve">   871130</v>
      </c>
      <c r="B10036" t="str">
        <f>T("   Motocycles à moteur à piston alternatif, cylindrée &gt; 250 cm³ mais &lt;= 500 cm³")</f>
        <v xml:space="preserve">   Motocycles à moteur à piston alternatif, cylindrée &gt; 250 cm³ mais &lt;= 500 cm³</v>
      </c>
      <c r="C10036">
        <v>19726203</v>
      </c>
      <c r="D10036">
        <v>12310</v>
      </c>
    </row>
    <row r="10037" spans="1:4" x14ac:dyDescent="0.25">
      <c r="A10037" t="str">
        <f>T("   871140")</f>
        <v xml:space="preserve">   871140</v>
      </c>
      <c r="B10037" t="str">
        <f>T("   Motocycles à moteur à piston alternatif, cylindrée &gt; 500 cm³ mais &lt;= 800 cm³")</f>
        <v xml:space="preserve">   Motocycles à moteur à piston alternatif, cylindrée &gt; 500 cm³ mais &lt;= 800 cm³</v>
      </c>
      <c r="C10037">
        <v>130515000</v>
      </c>
      <c r="D10037">
        <v>93220</v>
      </c>
    </row>
    <row r="10038" spans="1:4" x14ac:dyDescent="0.25">
      <c r="A10038" t="str">
        <f>T("   871200")</f>
        <v xml:space="preserve">   871200</v>
      </c>
      <c r="B10038" t="str">
        <f>T("   BICYCLETTES ET AUTRES CYCLES, -Y.C. LES TRIPORTEURS-, SANS MOTEUR")</f>
        <v xml:space="preserve">   BICYCLETTES ET AUTRES CYCLES, -Y.C. LES TRIPORTEURS-, SANS MOTEUR</v>
      </c>
      <c r="C10038">
        <v>76461</v>
      </c>
      <c r="D10038">
        <v>590</v>
      </c>
    </row>
    <row r="10039" spans="1:4" x14ac:dyDescent="0.25">
      <c r="A10039" t="str">
        <f>T("   871411")</f>
        <v xml:space="preserve">   871411</v>
      </c>
      <c r="B10039" t="str">
        <f>T("   Selles de motocycles, y.c. de cyclomoteurs")</f>
        <v xml:space="preserve">   Selles de motocycles, y.c. de cyclomoteurs</v>
      </c>
      <c r="C10039">
        <v>19100000</v>
      </c>
      <c r="D10039">
        <v>34900</v>
      </c>
    </row>
    <row r="10040" spans="1:4" x14ac:dyDescent="0.25">
      <c r="A10040" t="str">
        <f>T("   871419")</f>
        <v xml:space="preserve">   871419</v>
      </c>
      <c r="B10040" t="str">
        <f>T("   Parties et accessoires de motocycles, y.c. de cyclomoteurs, n.d.a.")</f>
        <v xml:space="preserve">   Parties et accessoires de motocycles, y.c. de cyclomoteurs, n.d.a.</v>
      </c>
      <c r="C10040">
        <v>69495390</v>
      </c>
      <c r="D10040">
        <v>130925</v>
      </c>
    </row>
    <row r="10041" spans="1:4" x14ac:dyDescent="0.25">
      <c r="A10041" t="str">
        <f>T("   871491")</f>
        <v xml:space="preserve">   871491</v>
      </c>
      <c r="B10041" t="str">
        <f>T("   Cadres et fourches, et leurs parties, de bicyclettes, n.d.a.")</f>
        <v xml:space="preserve">   Cadres et fourches, et leurs parties, de bicyclettes, n.d.a.</v>
      </c>
      <c r="C10041">
        <v>6600000</v>
      </c>
      <c r="D10041">
        <v>16970</v>
      </c>
    </row>
    <row r="10042" spans="1:4" x14ac:dyDescent="0.25">
      <c r="A10042" t="str">
        <f>T("   871492")</f>
        <v xml:space="preserve">   871492</v>
      </c>
      <c r="B10042" t="str">
        <f>T("   Jantes et rayons, de bicyclettes")</f>
        <v xml:space="preserve">   Jantes et rayons, de bicyclettes</v>
      </c>
      <c r="C10042">
        <v>300000</v>
      </c>
      <c r="D10042">
        <v>1000</v>
      </c>
    </row>
    <row r="10043" spans="1:4" x14ac:dyDescent="0.25">
      <c r="A10043" t="str">
        <f>T("   871610")</f>
        <v xml:space="preserve">   871610</v>
      </c>
      <c r="B10043" t="str">
        <f>T("   Remorques et semi-remorques pour l'habitation ou le camping, du type caravane")</f>
        <v xml:space="preserve">   Remorques et semi-remorques pour l'habitation ou le camping, du type caravane</v>
      </c>
      <c r="C10043">
        <v>29062895</v>
      </c>
      <c r="D10043">
        <v>14000</v>
      </c>
    </row>
    <row r="10044" spans="1:4" x14ac:dyDescent="0.25">
      <c r="A10044" t="str">
        <f>T("   871620")</f>
        <v xml:space="preserve">   871620</v>
      </c>
      <c r="B10044" t="str">
        <f>T("   Remorques et semi-remorques autochargeuses ou autodéchargeuses, pour usages agricoles")</f>
        <v xml:space="preserve">   Remorques et semi-remorques autochargeuses ou autodéchargeuses, pour usages agricoles</v>
      </c>
      <c r="C10044">
        <v>20028514</v>
      </c>
      <c r="D10044">
        <v>145845</v>
      </c>
    </row>
    <row r="10045" spans="1:4" x14ac:dyDescent="0.25">
      <c r="A10045" t="str">
        <f>T("   871631")</f>
        <v xml:space="preserve">   871631</v>
      </c>
      <c r="B10045" t="str">
        <f>T("   Remorques-citernes ne circulant pas sur rails")</f>
        <v xml:space="preserve">   Remorques-citernes ne circulant pas sur rails</v>
      </c>
      <c r="C10045">
        <v>2530578</v>
      </c>
      <c r="D10045">
        <v>13620</v>
      </c>
    </row>
    <row r="10046" spans="1:4" x14ac:dyDescent="0.25">
      <c r="A10046" t="str">
        <f>T("   871640")</f>
        <v xml:space="preserve">   871640</v>
      </c>
      <c r="B10046" t="str">
        <f>T("   Remorques ne circulant pas sur rails (à l'excl. des remorques pour le transport de marchandises et remorques pour l'habitation ou le camping, du type caravane)")</f>
        <v xml:space="preserve">   Remorques ne circulant pas sur rails (à l'excl. des remorques pour le transport de marchandises et remorques pour l'habitation ou le camping, du type caravane)</v>
      </c>
      <c r="C10046">
        <v>152173280</v>
      </c>
      <c r="D10046">
        <v>309007</v>
      </c>
    </row>
    <row r="10047" spans="1:4" x14ac:dyDescent="0.25">
      <c r="A10047" t="str">
        <f>T("   871680")</f>
        <v xml:space="preserve">   871680</v>
      </c>
      <c r="B10047" t="str">
        <f>T("   Véhicules dirigés à la main et autres véhicules non automobiles, autres que remorques et semi-remorques")</f>
        <v xml:space="preserve">   Véhicules dirigés à la main et autres véhicules non automobiles, autres que remorques et semi-remorques</v>
      </c>
      <c r="C10047">
        <v>2050000</v>
      </c>
      <c r="D10047">
        <v>13153</v>
      </c>
    </row>
    <row r="10048" spans="1:4" x14ac:dyDescent="0.25">
      <c r="A10048" t="str">
        <f>T("   890399")</f>
        <v xml:space="preserve">   890399</v>
      </c>
      <c r="B10048" t="str">
        <f>T("   Bateaux, de plaisance ou de sport (sauf bateaux à moteur autre qu' à moteur hors-bord, bateaux à voile, même avec moteur auxiliaire, et bateaux gonflables); bateaux à rames et canoës")</f>
        <v xml:space="preserve">   Bateaux, de plaisance ou de sport (sauf bateaux à moteur autre qu' à moteur hors-bord, bateaux à voile, même avec moteur auxiliaire, et bateaux gonflables); bateaux à rames et canoës</v>
      </c>
      <c r="C10048">
        <v>4401966</v>
      </c>
      <c r="D10048">
        <v>930</v>
      </c>
    </row>
    <row r="10049" spans="1:4" x14ac:dyDescent="0.25">
      <c r="A10049" t="str">
        <f>T("   900110")</f>
        <v xml:space="preserve">   900110</v>
      </c>
      <c r="B10049" t="str">
        <f>T("   Fibres optiques, faisceaux et câbles de fibres optiques (autres que les câbles constitués de fibres gainées individuellement du n° 8544)")</f>
        <v xml:space="preserve">   Fibres optiques, faisceaux et câbles de fibres optiques (autres que les câbles constitués de fibres gainées individuellement du n° 8544)</v>
      </c>
      <c r="C10049">
        <v>107428</v>
      </c>
      <c r="D10049">
        <v>180</v>
      </c>
    </row>
    <row r="10050" spans="1:4" x14ac:dyDescent="0.25">
      <c r="A10050" t="str">
        <f>T("   900130")</f>
        <v xml:space="preserve">   900130</v>
      </c>
      <c r="B10050" t="str">
        <f>T("   Verres de contact")</f>
        <v xml:space="preserve">   Verres de contact</v>
      </c>
      <c r="C10050">
        <v>39222</v>
      </c>
      <c r="D10050">
        <v>16500</v>
      </c>
    </row>
    <row r="10051" spans="1:4" x14ac:dyDescent="0.25">
      <c r="A10051" t="str">
        <f>T("   900659")</f>
        <v xml:space="preserve">   900659</v>
      </c>
      <c r="B10051" t="s">
        <v>493</v>
      </c>
      <c r="C10051">
        <v>2200000</v>
      </c>
      <c r="D10051">
        <v>2140</v>
      </c>
    </row>
    <row r="10052" spans="1:4" x14ac:dyDescent="0.25">
      <c r="A10052" t="str">
        <f>T("   900911")</f>
        <v xml:space="preserve">   900911</v>
      </c>
      <c r="B10052" t="str">
        <f>T("   Appareils de photocopie électrostatiques, fonctionnant par reproduction directe de l'image de l'original sur la copie [procédé direct]")</f>
        <v xml:space="preserve">   Appareils de photocopie électrostatiques, fonctionnant par reproduction directe de l'image de l'original sur la copie [procédé direct]</v>
      </c>
      <c r="C10052">
        <v>13106</v>
      </c>
      <c r="D10052">
        <v>120</v>
      </c>
    </row>
    <row r="10053" spans="1:4" x14ac:dyDescent="0.25">
      <c r="A10053" t="str">
        <f>T("   901050")</f>
        <v xml:space="preserve">   901050</v>
      </c>
      <c r="B10053" t="str">
        <f>T("   Appareils et matériel pour laboratoires photographiques ou cinématographiques, n.d.a.; négatoscopes")</f>
        <v xml:space="preserve">   Appareils et matériel pour laboratoires photographiques ou cinématographiques, n.d.a.; négatoscopes</v>
      </c>
      <c r="C10053">
        <v>1000000</v>
      </c>
      <c r="D10053">
        <v>1560</v>
      </c>
    </row>
    <row r="10054" spans="1:4" x14ac:dyDescent="0.25">
      <c r="A10054" t="str">
        <f>T("   901780")</f>
        <v xml:space="preserve">   901780</v>
      </c>
      <c r="B10054" t="str">
        <f>T("   Instruments de mesure de longueurs, pour emploi à la main, n.d.a.")</f>
        <v xml:space="preserve">   Instruments de mesure de longueurs, pour emploi à la main, n.d.a.</v>
      </c>
      <c r="C10054">
        <v>384725</v>
      </c>
      <c r="D10054">
        <v>3250</v>
      </c>
    </row>
    <row r="10055" spans="1:4" x14ac:dyDescent="0.25">
      <c r="A10055" t="str">
        <f>T("   901812")</f>
        <v xml:space="preserve">   901812</v>
      </c>
      <c r="B10055" t="str">
        <f>T("   Appareils de diagnostic par balayage ultrasonique [scanners]")</f>
        <v xml:space="preserve">   Appareils de diagnostic par balayage ultrasonique [scanners]</v>
      </c>
      <c r="C10055">
        <v>699719</v>
      </c>
      <c r="D10055">
        <v>80</v>
      </c>
    </row>
    <row r="10056" spans="1:4" x14ac:dyDescent="0.25">
      <c r="A10056" t="str">
        <f>T("   901820")</f>
        <v xml:space="preserve">   901820</v>
      </c>
      <c r="B10056" t="str">
        <f>T("   Appareils à rayons ultraviolets ou infrarouges, pour la médecine")</f>
        <v xml:space="preserve">   Appareils à rayons ultraviolets ou infrarouges, pour la médecine</v>
      </c>
      <c r="C10056">
        <v>885000</v>
      </c>
      <c r="D10056">
        <v>1180</v>
      </c>
    </row>
    <row r="10057" spans="1:4" x14ac:dyDescent="0.25">
      <c r="A10057" t="str">
        <f>T("   901890")</f>
        <v xml:space="preserve">   901890</v>
      </c>
      <c r="B10057" t="str">
        <f>T("   Instruments et appareils pour la médecine, la chirurgie ou l'art vétérinaire, n.d.a.")</f>
        <v xml:space="preserve">   Instruments et appareils pour la médecine, la chirurgie ou l'art vétérinaire, n.d.a.</v>
      </c>
      <c r="C10057">
        <v>45402336</v>
      </c>
      <c r="D10057">
        <v>15800</v>
      </c>
    </row>
    <row r="10058" spans="1:4" x14ac:dyDescent="0.25">
      <c r="A10058" t="str">
        <f>T("   901910")</f>
        <v xml:space="preserve">   901910</v>
      </c>
      <c r="B10058" t="str">
        <f>T("   Appareils de mécanothérapie, appareils de massage et appareils de psychotechnie")</f>
        <v xml:space="preserve">   Appareils de mécanothérapie, appareils de massage et appareils de psychotechnie</v>
      </c>
      <c r="C10058">
        <v>74667</v>
      </c>
      <c r="D10058">
        <v>116</v>
      </c>
    </row>
    <row r="10059" spans="1:4" x14ac:dyDescent="0.25">
      <c r="A10059" t="str">
        <f>T("   902610")</f>
        <v xml:space="preserve">   902610</v>
      </c>
      <c r="B10059" t="str">
        <f>T("   Instruments et appareils pour la mesure ou le contrôle du débit ou du niveau des liquides (à l'excl. des compteurs et des instruments et appareils pour la régulation ou le contrôle automatiques)")</f>
        <v xml:space="preserve">   Instruments et appareils pour la mesure ou le contrôle du débit ou du niveau des liquides (à l'excl. des compteurs et des instruments et appareils pour la régulation ou le contrôle automatiques)</v>
      </c>
      <c r="C10059">
        <v>184737</v>
      </c>
      <c r="D10059">
        <v>835</v>
      </c>
    </row>
    <row r="10060" spans="1:4" x14ac:dyDescent="0.25">
      <c r="A10060" t="str">
        <f>T("   902820")</f>
        <v xml:space="preserve">   902820</v>
      </c>
      <c r="B10060" t="str">
        <f>T("   Compteurs de liquides, y.c. les compteurs pour leur étalonnage")</f>
        <v xml:space="preserve">   Compteurs de liquides, y.c. les compteurs pour leur étalonnage</v>
      </c>
      <c r="C10060">
        <v>67993</v>
      </c>
      <c r="D10060">
        <v>434</v>
      </c>
    </row>
    <row r="10061" spans="1:4" x14ac:dyDescent="0.25">
      <c r="A10061" t="str">
        <f>T("   910119")</f>
        <v xml:space="preserve">   910119</v>
      </c>
      <c r="B10061" t="str">
        <f>T("   Montres-bracelets, même incorporant un compteur de temps, fonctionnant électriquement, à affichage mécanique et optoélectronique, avec boîte en métaux précieux ou en plaqués ou doublés de métaux précieux (sauf celles dont le fond est en acier)")</f>
        <v xml:space="preserve">   Montres-bracelets, même incorporant un compteur de temps, fonctionnant électriquement, à affichage mécanique et optoélectronique, avec boîte en métaux précieux ou en plaqués ou doublés de métaux précieux (sauf celles dont le fond est en acier)</v>
      </c>
      <c r="C10061">
        <v>345758</v>
      </c>
      <c r="D10061">
        <v>15</v>
      </c>
    </row>
    <row r="10062" spans="1:4" x14ac:dyDescent="0.25">
      <c r="A10062" t="str">
        <f>T("   910211")</f>
        <v xml:space="preserve">   910211</v>
      </c>
      <c r="B10062" t="str">
        <f>T("   Montres-bracelets, même incorporant un compteur de temps, fonctionnant électriquement, à affichage mécanique seulement (autres que celles en métaux précieux ou en plaqués ou doublés de métaux précieux)")</f>
        <v xml:space="preserve">   Montres-bracelets, même incorporant un compteur de temps, fonctionnant électriquement, à affichage mécanique seulement (autres que celles en métaux précieux ou en plaqués ou doublés de métaux précieux)</v>
      </c>
      <c r="C10062">
        <v>324149</v>
      </c>
      <c r="D10062">
        <v>10</v>
      </c>
    </row>
    <row r="10063" spans="1:4" x14ac:dyDescent="0.25">
      <c r="A10063" t="str">
        <f>T("   911310")</f>
        <v xml:space="preserve">   911310</v>
      </c>
      <c r="B10063" t="str">
        <f>T("   Bracelets de montres et leurs parties, en métaux précieux ou en plaqués ou doublés de métaux précieux, n.d.a.")</f>
        <v xml:space="preserve">   Bracelets de montres et leurs parties, en métaux précieux ou en plaqués ou doublés de métaux précieux, n.d.a.</v>
      </c>
      <c r="C10063">
        <v>8738</v>
      </c>
      <c r="D10063">
        <v>40</v>
      </c>
    </row>
    <row r="10064" spans="1:4" x14ac:dyDescent="0.25">
      <c r="A10064" t="str">
        <f>T("   920600")</f>
        <v xml:space="preserve">   920600</v>
      </c>
      <c r="B10064" t="str">
        <f>T("   INSTRUMENTS DE MUSIQUE À PERCUSSION, P.EX. TAMBOURS, CAISSES, XYLOPHONES, CYMBALES, CASTAGNETTES, MARACAS [01/01/1988-31/12/1994: TAMBOURS, CAISSES, XYLOPHONES, CYMBALES, CASTAGNETTES, MARACAS ET AUTRES INSTRUMENTS DE MUSIQUE A PERCUSSION]")</f>
        <v xml:space="preserve">   INSTRUMENTS DE MUSIQUE À PERCUSSION, P.EX. TAMBOURS, CAISSES, XYLOPHONES, CYMBALES, CASTAGNETTES, MARACAS [01/01/1988-31/12/1994: TAMBOURS, CAISSES, XYLOPHONES, CYMBALES, CASTAGNETTES, MARACAS ET AUTRES INSTRUMENTS DE MUSIQUE A PERCUSSION]</v>
      </c>
      <c r="C10064">
        <v>10182</v>
      </c>
      <c r="D10064">
        <v>60</v>
      </c>
    </row>
    <row r="10065" spans="1:4" x14ac:dyDescent="0.25">
      <c r="A10065" t="str">
        <f>T("   940169")</f>
        <v xml:space="preserve">   940169</v>
      </c>
      <c r="B10065" t="str">
        <f>T("   Sièges, avec bâti en bois, non rembourrés")</f>
        <v xml:space="preserve">   Sièges, avec bâti en bois, non rembourrés</v>
      </c>
      <c r="C10065">
        <v>216098</v>
      </c>
      <c r="D10065">
        <v>300</v>
      </c>
    </row>
    <row r="10066" spans="1:4" x14ac:dyDescent="0.25">
      <c r="A10066" t="str">
        <f>T("   940171")</f>
        <v xml:space="preserve">   940171</v>
      </c>
      <c r="B10066" t="str">
        <f>T("   Sièges, avec bâti en métal, rembourrés (autres que pour véhicules aériens ou automobiles, autres que fauteuils pivotants ajustables en hauteur et autres que pour la médecine, l'art dentaire ou la chirurgie)")</f>
        <v xml:space="preserve">   Sièges, avec bâti en métal, rembourrés (autres que pour véhicules aériens ou automobiles, autres que fauteuils pivotants ajustables en hauteur et autres que pour la médecine, l'art dentaire ou la chirurgie)</v>
      </c>
      <c r="C10066">
        <v>1640747</v>
      </c>
      <c r="D10066">
        <v>20020</v>
      </c>
    </row>
    <row r="10067" spans="1:4" x14ac:dyDescent="0.25">
      <c r="A10067" t="str">
        <f>T("   940180")</f>
        <v xml:space="preserve">   940180</v>
      </c>
      <c r="B10067" t="str">
        <f>T("   Sièges, n.d.a.")</f>
        <v xml:space="preserve">   Sièges, n.d.a.</v>
      </c>
      <c r="C10067">
        <v>5513643</v>
      </c>
      <c r="D10067">
        <v>30869</v>
      </c>
    </row>
    <row r="10068" spans="1:4" x14ac:dyDescent="0.25">
      <c r="A10068" t="str">
        <f>T("   940210")</f>
        <v xml:space="preserve">   940210</v>
      </c>
      <c r="B10068" t="str">
        <f>T("   Fauteuils de dentistes, fauteuils pour salons de coiffure et fauteuils simil., avec dispositif à la fois d'orientation et d'élévation, et leurs parties, n.d.a.")</f>
        <v xml:space="preserve">   Fauteuils de dentistes, fauteuils pour salons de coiffure et fauteuils simil., avec dispositif à la fois d'orientation et d'élévation, et leurs parties, n.d.a.</v>
      </c>
      <c r="C10068">
        <v>674565</v>
      </c>
      <c r="D10068">
        <v>2065</v>
      </c>
    </row>
    <row r="10069" spans="1:4" x14ac:dyDescent="0.25">
      <c r="A10069" t="str">
        <f>T("   940310")</f>
        <v xml:space="preserve">   940310</v>
      </c>
      <c r="B10069" t="str">
        <f>T("   Meubles de bureau en métal (sauf sièges)")</f>
        <v xml:space="preserve">   Meubles de bureau en métal (sauf sièges)</v>
      </c>
      <c r="C10069">
        <v>216098</v>
      </c>
      <c r="D10069">
        <v>308</v>
      </c>
    </row>
    <row r="10070" spans="1:4" x14ac:dyDescent="0.25">
      <c r="A10070" t="str">
        <f>T("   940320")</f>
        <v xml:space="preserve">   940320</v>
      </c>
      <c r="B10070" t="str">
        <f>T("   Meubles en métal, sauf meubles de bureau, sièges et mobilier pour la médecine, la chirurgie, l'art dentaire ou vétérinaire")</f>
        <v xml:space="preserve">   Meubles en métal, sauf meubles de bureau, sièges et mobilier pour la médecine, la chirurgie, l'art dentaire ou vétérinaire</v>
      </c>
      <c r="C10070">
        <v>75638</v>
      </c>
      <c r="D10070">
        <v>490</v>
      </c>
    </row>
    <row r="10071" spans="1:4" x14ac:dyDescent="0.25">
      <c r="A10071" t="str">
        <f>T("   940330")</f>
        <v xml:space="preserve">   940330</v>
      </c>
      <c r="B10071" t="str">
        <f>T("   Meubles de bureau en bois (sauf sièges)")</f>
        <v xml:space="preserve">   Meubles de bureau en bois (sauf sièges)</v>
      </c>
      <c r="C10071">
        <v>6115618</v>
      </c>
      <c r="D10071">
        <v>8780</v>
      </c>
    </row>
    <row r="10072" spans="1:4" x14ac:dyDescent="0.25">
      <c r="A10072" t="str">
        <f>T("   940350")</f>
        <v xml:space="preserve">   940350</v>
      </c>
      <c r="B10072" t="str">
        <f>T("   Meubles pour chambres à coucher, en bois (sauf sièges)")</f>
        <v xml:space="preserve">   Meubles pour chambres à coucher, en bois (sauf sièges)</v>
      </c>
      <c r="C10072">
        <v>4497025</v>
      </c>
      <c r="D10072">
        <v>8544</v>
      </c>
    </row>
    <row r="10073" spans="1:4" x14ac:dyDescent="0.25">
      <c r="A10073" t="str">
        <f>T("   940360")</f>
        <v xml:space="preserve">   940360</v>
      </c>
      <c r="B10073" t="str">
        <f>T("   Meubles en bois (autres que pour bureaux, cuisines ou chambres à coucher et autres que sièges)")</f>
        <v xml:space="preserve">   Meubles en bois (autres que pour bureaux, cuisines ou chambres à coucher et autres que sièges)</v>
      </c>
      <c r="C10073">
        <v>17376305</v>
      </c>
      <c r="D10073">
        <v>73212</v>
      </c>
    </row>
    <row r="10074" spans="1:4" x14ac:dyDescent="0.25">
      <c r="A10074" t="str">
        <f>T("   940370")</f>
        <v xml:space="preserve">   940370</v>
      </c>
      <c r="B10074" t="str">
        <f>T("   Meubles en matières plastiques (autres que pour la médecine, l'art dentaire et vétérinaire, la chirurgie et autres que sièges)")</f>
        <v xml:space="preserve">   Meubles en matières plastiques (autres que pour la médecine, l'art dentaire et vétérinaire, la chirurgie et autres que sièges)</v>
      </c>
      <c r="C10074">
        <v>2517466</v>
      </c>
      <c r="D10074">
        <v>5821</v>
      </c>
    </row>
    <row r="10075" spans="1:4" x14ac:dyDescent="0.25">
      <c r="A10075" t="str">
        <f>T("   940380")</f>
        <v xml:space="preserve">   940380</v>
      </c>
      <c r="B10075" t="str">
        <f>T("   Meubles en rotin, osier, bambou ou autres matières (sauf métal, bois et matières plastiques)")</f>
        <v xml:space="preserve">   Meubles en rotin, osier, bambou ou autres matières (sauf métal, bois et matières plastiques)</v>
      </c>
      <c r="C10075">
        <v>4000000</v>
      </c>
      <c r="D10075">
        <v>11040</v>
      </c>
    </row>
    <row r="10076" spans="1:4" x14ac:dyDescent="0.25">
      <c r="A10076" t="str">
        <f>T("   940390")</f>
        <v xml:space="preserve">   940390</v>
      </c>
      <c r="B10076" t="str">
        <f>T("   PARTIES DE MEUBLES, N.D.A. (AUTRES QUE DE SIÈGES ET MOBILIER POUR LA MÉDECINE, L'ART DENTAIRE ET VÉTÉRINAIRE OU LA CHIRURGIE)")</f>
        <v xml:space="preserve">   PARTIES DE MEUBLES, N.D.A. (AUTRES QUE DE SIÈGES ET MOBILIER POUR LA MÉDECINE, L'ART DENTAIRE ET VÉTÉRINAIRE OU LA CHIRURGIE)</v>
      </c>
      <c r="C10076">
        <v>43635</v>
      </c>
      <c r="D10076">
        <v>400</v>
      </c>
    </row>
    <row r="10077" spans="1:4" x14ac:dyDescent="0.25">
      <c r="A10077" t="str">
        <f>T("   940421")</f>
        <v xml:space="preserve">   940421</v>
      </c>
      <c r="B10077" t="str">
        <f>T("   Matelas en caoutchouc alvéolaire ou en matières plastiques alvéolaires")</f>
        <v xml:space="preserve">   Matelas en caoutchouc alvéolaire ou en matières plastiques alvéolaires</v>
      </c>
      <c r="C10077">
        <v>1397175</v>
      </c>
      <c r="D10077">
        <v>2800</v>
      </c>
    </row>
    <row r="10078" spans="1:4" x14ac:dyDescent="0.25">
      <c r="A10078" t="str">
        <f>T("   940429")</f>
        <v xml:space="preserve">   940429</v>
      </c>
      <c r="B10078" t="str">
        <f>T("   Matelas à ressorts ou rembourrés, ou garnis intérieurement de matières autres que le caoutchouc alvéolaire ou les matières plastiques alvéolaires (sauf matelas à eau, matelas pneumatiques et oreillers)")</f>
        <v xml:space="preserve">   Matelas à ressorts ou rembourrés, ou garnis intérieurement de matières autres que le caoutchouc alvéolaire ou les matières plastiques alvéolaires (sauf matelas à eau, matelas pneumatiques et oreillers)</v>
      </c>
      <c r="C10078">
        <v>1882564</v>
      </c>
      <c r="D10078">
        <v>6684</v>
      </c>
    </row>
    <row r="10079" spans="1:4" x14ac:dyDescent="0.25">
      <c r="A10079" t="str">
        <f>T("   940490")</f>
        <v xml:space="preserve">   940490</v>
      </c>
      <c r="B10079" t="s">
        <v>508</v>
      </c>
      <c r="C10079">
        <v>3217250</v>
      </c>
      <c r="D10079">
        <v>5705</v>
      </c>
    </row>
    <row r="10080" spans="1:4" x14ac:dyDescent="0.25">
      <c r="A10080" t="str">
        <f>T("   940510")</f>
        <v xml:space="preserve">   940510</v>
      </c>
      <c r="B10080" t="str">
        <f>T("   Lustres et autres appareils d'éclairage électrique à suspendre ou à fixer au plafond ou au mur (sauf pour l'éclairage des espaces et voies publiques)")</f>
        <v xml:space="preserve">   Lustres et autres appareils d'éclairage électrique à suspendre ou à fixer au plafond ou au mur (sauf pour l'éclairage des espaces et voies publiques)</v>
      </c>
      <c r="C10080">
        <v>261482</v>
      </c>
      <c r="D10080">
        <v>1650</v>
      </c>
    </row>
    <row r="10081" spans="1:4" x14ac:dyDescent="0.25">
      <c r="A10081" t="str">
        <f>T("   940520")</f>
        <v xml:space="preserve">   940520</v>
      </c>
      <c r="B10081" t="str">
        <f>T("   Lampes de chevet, lampes de bureau et lampadaires d'intérieur, électriques")</f>
        <v xml:space="preserve">   Lampes de chevet, lampes de bureau et lampadaires d'intérieur, électriques</v>
      </c>
      <c r="C10081">
        <v>2000000</v>
      </c>
      <c r="D10081">
        <v>4100</v>
      </c>
    </row>
    <row r="10082" spans="1:4" x14ac:dyDescent="0.25">
      <c r="A10082" t="str">
        <f>T("   940540")</f>
        <v xml:space="preserve">   940540</v>
      </c>
      <c r="B10082" t="str">
        <f>T("   Appareils d'éclairage électrique, n.d.a.")</f>
        <v xml:space="preserve">   Appareils d'éclairage électrique, n.d.a.</v>
      </c>
      <c r="C10082">
        <v>318078</v>
      </c>
      <c r="D10082">
        <v>1740</v>
      </c>
    </row>
    <row r="10083" spans="1:4" x14ac:dyDescent="0.25">
      <c r="A10083" t="str">
        <f>T("   940560")</f>
        <v xml:space="preserve">   940560</v>
      </c>
      <c r="B10083" t="str">
        <f>T("   Lampes-réclames, enseignes lumineuses, plaques indicatrices lumineuses et articles simil., possédant une source d'éclairage fixée à demeure")</f>
        <v xml:space="preserve">   Lampes-réclames, enseignes lumineuses, plaques indicatrices lumineuses et articles simil., possédant une source d'éclairage fixée à demeure</v>
      </c>
      <c r="C10083">
        <v>194493</v>
      </c>
      <c r="D10083">
        <v>120</v>
      </c>
    </row>
    <row r="10084" spans="1:4" x14ac:dyDescent="0.25">
      <c r="A10084" t="str">
        <f>T("   940600")</f>
        <v xml:space="preserve">   940600</v>
      </c>
      <c r="B10084" t="str">
        <f>T("   Constructions préfabriquées, même incomplètes ou non encore montées")</f>
        <v xml:space="preserve">   Constructions préfabriquées, même incomplètes ou non encore montées</v>
      </c>
      <c r="C10084">
        <v>2000000</v>
      </c>
      <c r="D10084">
        <v>12620</v>
      </c>
    </row>
    <row r="10085" spans="1:4" x14ac:dyDescent="0.25">
      <c r="A10085" t="str">
        <f>T("   950100")</f>
        <v xml:space="preserve">   950100</v>
      </c>
      <c r="B10085" t="str">
        <f>T("   JOUETS À ROUES CONÇUS POUR ÊTRE MONTÉS PAR LES ENFANTS, P.EX. TRICYCLES, TROTTINETTES, AUTOS À PÉDALES (À L'EXCL. DES CYCLES HABITUELS AVEC ROULEMENT À BILLES); LANDAUS ET POUSSETTES POUR POUPÉES")</f>
        <v xml:space="preserve">   JOUETS À ROUES CONÇUS POUR ÊTRE MONTÉS PAR LES ENFANTS, P.EX. TRICYCLES, TROTTINETTES, AUTOS À PÉDALES (À L'EXCL. DES CYCLES HABITUELS AVEC ROULEMENT À BILLES); LANDAUS ET POUSSETTES POUR POUPÉES</v>
      </c>
      <c r="C10085">
        <v>1000000</v>
      </c>
      <c r="D10085">
        <v>960</v>
      </c>
    </row>
    <row r="10086" spans="1:4" x14ac:dyDescent="0.25">
      <c r="A10086" t="str">
        <f>T("   950349")</f>
        <v xml:space="preserve">   950349</v>
      </c>
      <c r="B10086" t="str">
        <f>T("   JOUETS REPRÉSENTANT DES ANIMAUX OU DES CRÉATURES NON-HUMAINES, NON-REMBOURRÉS")</f>
        <v xml:space="preserve">   JOUETS REPRÉSENTANT DES ANIMAUX OU DES CRÉATURES NON-HUMAINES, NON-REMBOURRÉS</v>
      </c>
      <c r="C10086">
        <v>5544572</v>
      </c>
      <c r="D10086">
        <v>7540</v>
      </c>
    </row>
    <row r="10087" spans="1:4" x14ac:dyDescent="0.25">
      <c r="A10087" t="str">
        <f>T("   950390")</f>
        <v xml:space="preserve">   950390</v>
      </c>
      <c r="B10087" t="str">
        <f>T("   Jouets, n.d.a.")</f>
        <v xml:space="preserve">   Jouets, n.d.a.</v>
      </c>
      <c r="C10087">
        <v>108052</v>
      </c>
      <c r="D10087">
        <v>50</v>
      </c>
    </row>
    <row r="10088" spans="1:4" x14ac:dyDescent="0.25">
      <c r="A10088" t="str">
        <f>T("   950440")</f>
        <v xml:space="preserve">   950440</v>
      </c>
      <c r="B10088" t="str">
        <f>T("   Cartes à jouer")</f>
        <v xml:space="preserve">   Cartes à jouer</v>
      </c>
      <c r="C10088">
        <v>2001357</v>
      </c>
      <c r="D10088">
        <v>12410</v>
      </c>
    </row>
    <row r="10089" spans="1:4" x14ac:dyDescent="0.25">
      <c r="A10089" t="str">
        <f>T("   950490")</f>
        <v xml:space="preserve">   950490</v>
      </c>
      <c r="B10089" t="s">
        <v>510</v>
      </c>
      <c r="C10089">
        <v>47545</v>
      </c>
      <c r="D10089">
        <v>230</v>
      </c>
    </row>
    <row r="10090" spans="1:4" x14ac:dyDescent="0.25">
      <c r="A10090" t="str">
        <f>T("   950590")</f>
        <v xml:space="preserve">   950590</v>
      </c>
      <c r="B10090" t="str">
        <f>T("   Articles pour fêtes, carnaval ou autres divertissements, y.c. les articles de magie et articles-surprises, n.d.a.")</f>
        <v xml:space="preserve">   Articles pour fêtes, carnaval ou autres divertissements, y.c. les articles de magie et articles-surprises, n.d.a.</v>
      </c>
      <c r="C10090">
        <v>1662300</v>
      </c>
      <c r="D10090">
        <v>6380</v>
      </c>
    </row>
    <row r="10091" spans="1:4" x14ac:dyDescent="0.25">
      <c r="A10091" t="str">
        <f>T("   950651")</f>
        <v xml:space="preserve">   950651</v>
      </c>
      <c r="B10091" t="str">
        <f>T("   Raquettes de tennis, cordées ou non (sauf raquettes de tennis de table)")</f>
        <v xml:space="preserve">   Raquettes de tennis, cordées ou non (sauf raquettes de tennis de table)</v>
      </c>
      <c r="C10091">
        <v>32415</v>
      </c>
      <c r="D10091">
        <v>120</v>
      </c>
    </row>
    <row r="10092" spans="1:4" x14ac:dyDescent="0.25">
      <c r="A10092" t="str">
        <f>T("   950662")</f>
        <v xml:space="preserve">   950662</v>
      </c>
      <c r="B10092" t="str">
        <f>T("   Ballons et balles gonflables")</f>
        <v xml:space="preserve">   Ballons et balles gonflables</v>
      </c>
      <c r="C10092">
        <v>211777</v>
      </c>
      <c r="D10092">
        <v>180</v>
      </c>
    </row>
    <row r="10093" spans="1:4" x14ac:dyDescent="0.25">
      <c r="A10093" t="str">
        <f>T("   950669")</f>
        <v xml:space="preserve">   950669</v>
      </c>
      <c r="B10093" t="str">
        <f>T("   Ballons et balles (autres que gonflables et autres que balles de golf ou de tennis de table)")</f>
        <v xml:space="preserve">   Ballons et balles (autres que gonflables et autres que balles de golf ou de tennis de table)</v>
      </c>
      <c r="C10093">
        <v>216099</v>
      </c>
      <c r="D10093">
        <v>900</v>
      </c>
    </row>
    <row r="10094" spans="1:4" x14ac:dyDescent="0.25">
      <c r="A10094" t="str">
        <f>T("   950699")</f>
        <v xml:space="preserve">   950699</v>
      </c>
      <c r="B10094" t="str">
        <f>T("   Articles et matériel pour le sport et les jeux de plein air, n.d.a.; piscines et pataugeoires")</f>
        <v xml:space="preserve">   Articles et matériel pour le sport et les jeux de plein air, n.d.a.; piscines et pataugeoires</v>
      </c>
      <c r="C10094">
        <v>790071</v>
      </c>
      <c r="D10094">
        <v>1310</v>
      </c>
    </row>
    <row r="10095" spans="1:4" x14ac:dyDescent="0.25">
      <c r="A10095" t="str">
        <f>T("   950810")</f>
        <v xml:space="preserve">   950810</v>
      </c>
      <c r="B10095" t="str">
        <f>T("   Cirques ambulants et ménageries ambulantes")</f>
        <v xml:space="preserve">   Cirques ambulants et ménageries ambulantes</v>
      </c>
      <c r="C10095">
        <v>3000000</v>
      </c>
      <c r="D10095">
        <v>2600</v>
      </c>
    </row>
    <row r="10096" spans="1:4" x14ac:dyDescent="0.25">
      <c r="A10096" t="str">
        <f>T("   960310")</f>
        <v xml:space="preserve">   960310</v>
      </c>
      <c r="B10096" t="str">
        <f>T("   Balais et balayettes consistant en matières végétales en bottes liées")</f>
        <v xml:space="preserve">   Balais et balayettes consistant en matières végétales en bottes liées</v>
      </c>
      <c r="C10096">
        <v>1754998</v>
      </c>
      <c r="D10096">
        <v>3240</v>
      </c>
    </row>
    <row r="10097" spans="1:4" x14ac:dyDescent="0.25">
      <c r="A10097" t="str">
        <f>T("   960321")</f>
        <v xml:space="preserve">   960321</v>
      </c>
      <c r="B10097" t="str">
        <f>T("   Brosses à dent, y.c. brosses à prothèses dentaires")</f>
        <v xml:space="preserve">   Brosses à dent, y.c. brosses à prothèses dentaires</v>
      </c>
      <c r="C10097">
        <v>8000238</v>
      </c>
      <c r="D10097">
        <v>49433</v>
      </c>
    </row>
    <row r="10098" spans="1:4" x14ac:dyDescent="0.25">
      <c r="A10098" t="str">
        <f>T("   960329")</f>
        <v xml:space="preserve">   960329</v>
      </c>
      <c r="B10098" t="str">
        <f>T("   Brosses et pinceaux à barbe, à cheveux, à cils ou à ongles et autres brosses pour la toilette des personnes, sauf brosses à dent")</f>
        <v xml:space="preserve">   Brosses et pinceaux à barbe, à cheveux, à cils ou à ongles et autres brosses pour la toilette des personnes, sauf brosses à dent</v>
      </c>
      <c r="C10098">
        <v>8104</v>
      </c>
      <c r="D10098">
        <v>20</v>
      </c>
    </row>
    <row r="10099" spans="1:4" x14ac:dyDescent="0.25">
      <c r="A10099" t="str">
        <f>T("   960390")</f>
        <v xml:space="preserve">   960390</v>
      </c>
      <c r="B10099" t="str">
        <f>T("   ARTICLES DE BROSSERIE (SAUF DU N° 9603.10 À 9603.50), P.EX. TÊTES PRÉPARÉES POUR ARTICLES DE BROSSERIE ET RACLETTES EN CAOUTCHOUC OU EN MATIÈRES SOUPLES ANALOGUES")</f>
        <v xml:space="preserve">   ARTICLES DE BROSSERIE (SAUF DU N° 9603.10 À 9603.50), P.EX. TÊTES PRÉPARÉES POUR ARTICLES DE BROSSERIE ET RACLETTES EN CAOUTCHOUC OU EN MATIÈRES SOUPLES ANALOGUES</v>
      </c>
      <c r="C10099">
        <v>150937</v>
      </c>
      <c r="D10099">
        <v>616</v>
      </c>
    </row>
    <row r="10100" spans="1:4" x14ac:dyDescent="0.25">
      <c r="A10100" t="str">
        <f>T("   960629")</f>
        <v xml:space="preserve">   960629</v>
      </c>
      <c r="B10100" t="str">
        <f>T("   Boutons (sauf boutons en matières plastiques ou en métaux communs, non recouverts de matières textiles, boutons-pressions et boutons de manchette)")</f>
        <v xml:space="preserve">   Boutons (sauf boutons en matières plastiques ou en métaux communs, non recouverts de matières textiles, boutons-pressions et boutons de manchette)</v>
      </c>
      <c r="C10100">
        <v>10889948</v>
      </c>
      <c r="D10100">
        <v>61350</v>
      </c>
    </row>
    <row r="10101" spans="1:4" x14ac:dyDescent="0.25">
      <c r="A10101" t="str">
        <f>T("   960719")</f>
        <v xml:space="preserve">   960719</v>
      </c>
      <c r="B10101" t="str">
        <f>T("   Fermetures à glissière sans agrafes et autres qu'en métaux communs")</f>
        <v xml:space="preserve">   Fermetures à glissière sans agrafes et autres qu'en métaux communs</v>
      </c>
      <c r="C10101">
        <v>3787635</v>
      </c>
      <c r="D10101">
        <v>14078</v>
      </c>
    </row>
    <row r="10102" spans="1:4" x14ac:dyDescent="0.25">
      <c r="A10102" t="str">
        <f>T("   960810")</f>
        <v xml:space="preserve">   960810</v>
      </c>
      <c r="B10102" t="str">
        <f>T("   Stylos et crayons à bille")</f>
        <v xml:space="preserve">   Stylos et crayons à bille</v>
      </c>
      <c r="C10102">
        <v>2456996</v>
      </c>
      <c r="D10102">
        <v>10820</v>
      </c>
    </row>
    <row r="10103" spans="1:4" x14ac:dyDescent="0.25">
      <c r="A10103" t="str">
        <f>T("   960990")</f>
        <v xml:space="preserve">   960990</v>
      </c>
      <c r="B10103" t="str">
        <f>T("   Crayons (sauf crayons à gaine), pastels, fusains, craies à écrire ou à dessiner et craies de tailleurs")</f>
        <v xml:space="preserve">   Crayons (sauf crayons à gaine), pastels, fusains, craies à écrire ou à dessiner et craies de tailleurs</v>
      </c>
      <c r="C10103">
        <v>1154296</v>
      </c>
      <c r="D10103">
        <v>7070</v>
      </c>
    </row>
    <row r="10104" spans="1:4" x14ac:dyDescent="0.25">
      <c r="A10104" t="str">
        <f>T("   961000")</f>
        <v xml:space="preserve">   961000</v>
      </c>
      <c r="B10104" t="str">
        <f>T("   Ardoises et tableaux pour l'écriture ou le dessin, même encadrés")</f>
        <v xml:space="preserve">   Ardoises et tableaux pour l'écriture ou le dessin, même encadrés</v>
      </c>
      <c r="C10104">
        <v>86440</v>
      </c>
      <c r="D10104">
        <v>120</v>
      </c>
    </row>
    <row r="10105" spans="1:4" x14ac:dyDescent="0.25">
      <c r="A10105" t="str">
        <f>T("   961511")</f>
        <v xml:space="preserve">   961511</v>
      </c>
      <c r="B10105" t="str">
        <f>T("   PEIGNÉS À COIFFER, PEIGNÉS DE COIFFURE, BARRETTES ET ARTICLES SIMIL., EN CAOUTCHOUC DURCI OU EN MATIÈRES PLASTIQUES")</f>
        <v xml:space="preserve">   PEIGNÉS À COIFFER, PEIGNÉS DE COIFFURE, BARRETTES ET ARTICLES SIMIL., EN CAOUTCHOUC DURCI OU EN MATIÈRES PLASTIQUES</v>
      </c>
      <c r="C10105">
        <v>1768000</v>
      </c>
      <c r="D10105">
        <v>8774</v>
      </c>
    </row>
    <row r="10106" spans="1:4" x14ac:dyDescent="0.25">
      <c r="A10106" t="str">
        <f>T("   961590")</f>
        <v xml:space="preserve">   961590</v>
      </c>
      <c r="B10106" t="str">
        <f>T("   Epingles à cheveux; pince-guiches, ondulateurs, bigoudis et articles pour la coiffure (autres que ceux du n° 8516); parties")</f>
        <v xml:space="preserve">   Epingles à cheveux; pince-guiches, ondulateurs, bigoudis et articles pour la coiffure (autres que ceux du n° 8516); parties</v>
      </c>
      <c r="C10106">
        <v>10806</v>
      </c>
      <c r="D10106">
        <v>36</v>
      </c>
    </row>
    <row r="10107" spans="1:4" x14ac:dyDescent="0.25">
      <c r="A10107" t="str">
        <f>T("   961700")</f>
        <v xml:space="preserve">   961700</v>
      </c>
      <c r="B10107" t="str">
        <f>T("   Bouteilles isolantes et autres récipients isothermiques montés, dont l'isolation est assurée par le vide, ainsi que leurs parties (à l'excl. des ampoules en verre)")</f>
        <v xml:space="preserve">   Bouteilles isolantes et autres récipients isothermiques montés, dont l'isolation est assurée par le vide, ainsi que leurs parties (à l'excl. des ampoules en verre)</v>
      </c>
      <c r="C10107">
        <v>216102</v>
      </c>
      <c r="D10107">
        <v>1070</v>
      </c>
    </row>
    <row r="10108" spans="1:4" x14ac:dyDescent="0.25">
      <c r="A10108" t="str">
        <f>T("   961800")</f>
        <v xml:space="preserve">   961800</v>
      </c>
      <c r="B10108" t="str">
        <f>T("   Mannequins et articles simil.; automates et scènes animées pour étalages (à l'excl. des modèles utilisés pour l'enseignement, des poupées présentant des caractères de jouet et des marchandises présentées sur ces mannequins)")</f>
        <v xml:space="preserve">   Mannequins et articles simil.; automates et scènes animées pour étalages (à l'excl. des modèles utilisés pour l'enseignement, des poupées présentant des caractères de jouet et des marchandises présentées sur ces mannequins)</v>
      </c>
      <c r="C10108">
        <v>334953</v>
      </c>
      <c r="D10108">
        <v>95</v>
      </c>
    </row>
    <row r="10109" spans="1:4" x14ac:dyDescent="0.25">
      <c r="A10109" t="str">
        <f>T("   970110")</f>
        <v xml:space="preserve">   970110</v>
      </c>
      <c r="B10109" t="str">
        <f>T("   Tableaux, p.ex. peintures à l'huile, aquarelles et pastels, et dessins, faits entièrement à la main (à l'excl. des dessins du n° 4906 et des articles manufacturés décorés à la main)")</f>
        <v xml:space="preserve">   Tableaux, p.ex. peintures à l'huile, aquarelles et pastels, et dessins, faits entièrement à la main (à l'excl. des dessins du n° 4906 et des articles manufacturés décorés à la main)</v>
      </c>
      <c r="C10109">
        <v>54617</v>
      </c>
      <c r="D10109">
        <v>2420</v>
      </c>
    </row>
    <row r="10110" spans="1:4" x14ac:dyDescent="0.25">
      <c r="A10110" t="str">
        <f>T("   970300")</f>
        <v xml:space="preserve">   970300</v>
      </c>
      <c r="B10110" t="str">
        <f>T("   Productions originales de l'art statuaire ou de la sculpture, en toutes matières")</f>
        <v xml:space="preserve">   Productions originales de l'art statuaire ou de la sculpture, en toutes matières</v>
      </c>
      <c r="C10110">
        <v>21843</v>
      </c>
      <c r="D10110">
        <v>900</v>
      </c>
    </row>
    <row r="10111" spans="1:4" x14ac:dyDescent="0.25">
      <c r="A10111" t="str">
        <f>T("   970600")</f>
        <v xml:space="preserve">   970600</v>
      </c>
      <c r="B10111" t="str">
        <f>T("   Objets d'antiquité ayant plus de cent ans d'âge")</f>
        <v xml:space="preserve">   Objets d'antiquité ayant plus de cent ans d'âge</v>
      </c>
      <c r="C10111">
        <v>174767</v>
      </c>
      <c r="D10111">
        <v>1800</v>
      </c>
    </row>
    <row r="10112" spans="1:4" x14ac:dyDescent="0.25">
      <c r="A10112" t="str">
        <f>T("TH")</f>
        <v>TH</v>
      </c>
      <c r="B10112" t="str">
        <f>T("Thaïlande")</f>
        <v>Thaïlande</v>
      </c>
    </row>
    <row r="10113" spans="1:4" x14ac:dyDescent="0.25">
      <c r="A10113" t="str">
        <f>T("   ZZ_Total_Produit_SH6")</f>
        <v xml:space="preserve">   ZZ_Total_Produit_SH6</v>
      </c>
      <c r="B10113" t="str">
        <f>T("   ZZ_Total_Produit_SH6")</f>
        <v xml:space="preserve">   ZZ_Total_Produit_SH6</v>
      </c>
      <c r="C10113">
        <v>53953541659.791</v>
      </c>
      <c r="D10113">
        <v>184343932.30000001</v>
      </c>
    </row>
    <row r="10114" spans="1:4" x14ac:dyDescent="0.25">
      <c r="A10114" t="str">
        <f>T("   090220")</f>
        <v xml:space="preserve">   090220</v>
      </c>
      <c r="B10114" t="str">
        <f>T("   Thé vert [thé non fermenté], présenté en emballages immédiats d'un contenu &gt; 3 kg")</f>
        <v xml:space="preserve">   Thé vert [thé non fermenté], présenté en emballages immédiats d'un contenu &gt; 3 kg</v>
      </c>
      <c r="C10114">
        <v>202036</v>
      </c>
      <c r="D10114">
        <v>513</v>
      </c>
    </row>
    <row r="10115" spans="1:4" x14ac:dyDescent="0.25">
      <c r="A10115" t="str">
        <f>T("   100620")</f>
        <v xml:space="preserve">   100620</v>
      </c>
      <c r="B10115" t="str">
        <f>T("   Riz décortiqué [riz cargo ou riz brun]")</f>
        <v xml:space="preserve">   Riz décortiqué [riz cargo ou riz brun]</v>
      </c>
      <c r="C10115">
        <v>1060730532.552</v>
      </c>
      <c r="D10115">
        <v>2598083</v>
      </c>
    </row>
    <row r="10116" spans="1:4" x14ac:dyDescent="0.25">
      <c r="A10116" t="str">
        <f>T("   100630")</f>
        <v xml:space="preserve">   100630</v>
      </c>
      <c r="B10116" t="str">
        <f>T("   Riz semi-blanchi ou blanchi, même poli ou glacé")</f>
        <v xml:space="preserve">   Riz semi-blanchi ou blanchi, même poli ou glacé</v>
      </c>
      <c r="C10116">
        <v>47968366824.652</v>
      </c>
      <c r="D10116">
        <v>168415009</v>
      </c>
    </row>
    <row r="10117" spans="1:4" x14ac:dyDescent="0.25">
      <c r="A10117" t="str">
        <f>T("   100640")</f>
        <v xml:space="preserve">   100640</v>
      </c>
      <c r="B10117" t="str">
        <f>T("   Riz en brisures")</f>
        <v xml:space="preserve">   Riz en brisures</v>
      </c>
      <c r="C10117">
        <v>1255478041.806</v>
      </c>
      <c r="D10117">
        <v>4068767</v>
      </c>
    </row>
    <row r="10118" spans="1:4" x14ac:dyDescent="0.25">
      <c r="A10118" t="str">
        <f>T("   151550")</f>
        <v xml:space="preserve">   151550</v>
      </c>
      <c r="B10118" t="str">
        <f>T("   Huile de sésame et ses fractions, même raffinées, mais non chimiquement modifiées")</f>
        <v xml:space="preserve">   Huile de sésame et ses fractions, même raffinées, mais non chimiquement modifiées</v>
      </c>
      <c r="C10118">
        <v>299500</v>
      </c>
      <c r="D10118">
        <v>1198</v>
      </c>
    </row>
    <row r="10119" spans="1:4" x14ac:dyDescent="0.25">
      <c r="A10119" t="str">
        <f>T("   151620")</f>
        <v xml:space="preserve">   151620</v>
      </c>
      <c r="B10119" t="str">
        <f>T("   Graisses et huiles végétales et leurs fractions, partiellement ou totalement hydrogénées, interestérifiées, réestérifiées ou élaïdinisées, même raffinées, mais non autrement préparées")</f>
        <v xml:space="preserve">   Graisses et huiles végétales et leurs fractions, partiellement ou totalement hydrogénées, interestérifiées, réestérifiées ou élaïdinisées, même raffinées, mais non autrement préparées</v>
      </c>
      <c r="C10119">
        <v>80000</v>
      </c>
      <c r="D10119">
        <v>1000</v>
      </c>
    </row>
    <row r="10120" spans="1:4" x14ac:dyDescent="0.25">
      <c r="A10120" t="str">
        <f>T("   160420")</f>
        <v xml:space="preserve">   160420</v>
      </c>
      <c r="B10120" t="str">
        <f>T("   Préparations et conserves de poissons (à l'excl. des préparations et conserves de poissons entiers ou en morceaux)")</f>
        <v xml:space="preserve">   Préparations et conserves de poissons (à l'excl. des préparations et conserves de poissons entiers ou en morceaux)</v>
      </c>
      <c r="C10120">
        <v>14840000</v>
      </c>
      <c r="D10120">
        <v>38272</v>
      </c>
    </row>
    <row r="10121" spans="1:4" x14ac:dyDescent="0.25">
      <c r="A10121" t="str">
        <f>T("   170191")</f>
        <v xml:space="preserve">   170191</v>
      </c>
      <c r="B10121" t="str">
        <f>T("   Sucres de canne ou de betterave, à l'état solide, additionnés d'aromatisants ou de colorants")</f>
        <v xml:space="preserve">   Sucres de canne ou de betterave, à l'état solide, additionnés d'aromatisants ou de colorants</v>
      </c>
      <c r="C10121">
        <v>213681600</v>
      </c>
      <c r="D10121">
        <v>1775000</v>
      </c>
    </row>
    <row r="10122" spans="1:4" x14ac:dyDescent="0.25">
      <c r="A10122" t="str">
        <f>T("   170199")</f>
        <v xml:space="preserve">   170199</v>
      </c>
      <c r="B10122" t="str">
        <f>T("   Sucres de canne ou de betterave et saccharose chimiquement pur, à l'état solide (à l'excl. des sucres bruts et des sucres de canne ou de betterave additionnés d'aromatisants ou de colorants)")</f>
        <v xml:space="preserve">   Sucres de canne ou de betterave et saccharose chimiquement pur, à l'état solide (à l'excl. des sucres bruts et des sucres de canne ou de betterave additionnés d'aromatisants ou de colorants)</v>
      </c>
      <c r="C10122">
        <v>544403234.78100002</v>
      </c>
      <c r="D10122">
        <v>4282160</v>
      </c>
    </row>
    <row r="10123" spans="1:4" x14ac:dyDescent="0.25">
      <c r="A10123" t="str">
        <f>T("   170490")</f>
        <v xml:space="preserve">   170490</v>
      </c>
      <c r="B10123" t="str">
        <f>T("   Sucreries sans cacao, y.c. le chocolat blanc (à l'excl. des gommes à mâcher)")</f>
        <v xml:space="preserve">   Sucreries sans cacao, y.c. le chocolat blanc (à l'excl. des gommes à mâcher)</v>
      </c>
      <c r="C10123">
        <v>10920000</v>
      </c>
      <c r="D10123">
        <v>21197</v>
      </c>
    </row>
    <row r="10124" spans="1:4" x14ac:dyDescent="0.25">
      <c r="A10124" t="str">
        <f>T("   190190")</f>
        <v xml:space="preserve">   190190</v>
      </c>
      <c r="B10124" t="s">
        <v>48</v>
      </c>
      <c r="C10124">
        <v>459172</v>
      </c>
      <c r="D10124">
        <v>1114</v>
      </c>
    </row>
    <row r="10125" spans="1:4" x14ac:dyDescent="0.25">
      <c r="A10125" t="str">
        <f>T("   190219")</f>
        <v xml:space="preserve">   190219</v>
      </c>
      <c r="B10125" t="str">
        <f>T("   PÂTES ALIMENTAIRES NON-CUITES NI FARCIES NI AUTREMENT PRÉPARÉES, NE CONTENANT PAS D'OEUFS")</f>
        <v xml:space="preserve">   PÂTES ALIMENTAIRES NON-CUITES NI FARCIES NI AUTREMENT PRÉPARÉES, NE CONTENANT PAS D'OEUFS</v>
      </c>
      <c r="C10125">
        <v>518208</v>
      </c>
      <c r="D10125">
        <v>1003</v>
      </c>
    </row>
    <row r="10126" spans="1:4" x14ac:dyDescent="0.25">
      <c r="A10126" t="str">
        <f>T("   190531")</f>
        <v xml:space="preserve">   190531</v>
      </c>
      <c r="B10126" t="str">
        <f>T("   Biscuits additionnés d'édulcorants")</f>
        <v xml:space="preserve">   Biscuits additionnés d'édulcorants</v>
      </c>
      <c r="C10126">
        <v>32392000</v>
      </c>
      <c r="D10126">
        <v>62455</v>
      </c>
    </row>
    <row r="10127" spans="1:4" x14ac:dyDescent="0.25">
      <c r="A10127" t="str">
        <f>T("   200580")</f>
        <v xml:space="preserve">   200580</v>
      </c>
      <c r="B10127" t="str">
        <f>T("   Maïs doux [Zea mays var. saccharata], préparé ou conservé autrement qu'au vinaigre ou à l'acide acétique, non congelé")</f>
        <v xml:space="preserve">   Maïs doux [Zea mays var. saccharata], préparé ou conservé autrement qu'au vinaigre ou à l'acide acétique, non congelé</v>
      </c>
      <c r="C10127">
        <v>13553153</v>
      </c>
      <c r="D10127">
        <v>56129</v>
      </c>
    </row>
    <row r="10128" spans="1:4" x14ac:dyDescent="0.25">
      <c r="A10128" t="str">
        <f>T("   210320")</f>
        <v xml:space="preserve">   210320</v>
      </c>
      <c r="B10128" t="str">
        <f>T("   Tomato ketchup et autres sauces tomates")</f>
        <v xml:space="preserve">   Tomato ketchup et autres sauces tomates</v>
      </c>
      <c r="C10128">
        <v>18277836</v>
      </c>
      <c r="D10128">
        <v>43264</v>
      </c>
    </row>
    <row r="10129" spans="1:4" x14ac:dyDescent="0.25">
      <c r="A10129" t="str">
        <f>T("   210390")</f>
        <v xml:space="preserve">   210390</v>
      </c>
      <c r="B10129" t="str">
        <f>T("   Préparations pour sauces et sauces préparées; condiments et assaisonnements, composés (à l'excl. de la sauce de soja, du tomato ketchup et autres sauces tomates, de la farine de moutarde et de la moutarde préparée)")</f>
        <v xml:space="preserve">   Préparations pour sauces et sauces préparées; condiments et assaisonnements, composés (à l'excl. de la sauce de soja, du tomato ketchup et autres sauces tomates, de la farine de moutarde et de la moutarde préparée)</v>
      </c>
      <c r="C10129">
        <v>567405</v>
      </c>
      <c r="D10129">
        <v>1240</v>
      </c>
    </row>
    <row r="10130" spans="1:4" x14ac:dyDescent="0.25">
      <c r="A10130" t="str">
        <f>T("   210690")</f>
        <v xml:space="preserve">   210690</v>
      </c>
      <c r="B10130" t="str">
        <f>T("   Préparations alimentaires, n.d.a.")</f>
        <v xml:space="preserve">   Préparations alimentaires, n.d.a.</v>
      </c>
      <c r="C10130">
        <v>657272</v>
      </c>
      <c r="D10130">
        <v>2685</v>
      </c>
    </row>
    <row r="10131" spans="1:4" x14ac:dyDescent="0.25">
      <c r="A10131" t="str">
        <f>T("   220290")</f>
        <v xml:space="preserve">   220290</v>
      </c>
      <c r="B10131" t="str">
        <f>T("   BOISSONS NON-ALCOOLIQUES (À L'EXCL. DES EAUX, DES JUS DE FRUITS OU DE LÉGUMES AINSI QUE DU LAIT)")</f>
        <v xml:space="preserve">   BOISSONS NON-ALCOOLIQUES (À L'EXCL. DES EAUX, DES JUS DE FRUITS OU DE LÉGUMES AINSI QUE DU LAIT)</v>
      </c>
      <c r="C10131">
        <v>6721925</v>
      </c>
      <c r="D10131">
        <v>18690</v>
      </c>
    </row>
    <row r="10132" spans="1:4" x14ac:dyDescent="0.25">
      <c r="A10132" t="str">
        <f>T("   330499")</f>
        <v xml:space="preserve">   330499</v>
      </c>
      <c r="B10132" t="s">
        <v>100</v>
      </c>
      <c r="C10132">
        <v>12726747</v>
      </c>
      <c r="D10132">
        <v>12620</v>
      </c>
    </row>
    <row r="10133" spans="1:4" x14ac:dyDescent="0.25">
      <c r="A10133" t="str">
        <f>T("   330749")</f>
        <v xml:space="preserve">   330749</v>
      </c>
      <c r="B10133" t="str">
        <f>T("   Préparations pour parfumer ou pour désodoriser les locaux, y.c. les préparations odoriférantes pour cérémonies religieuses (à l'excl. de l'agarbatti et des autres préparations odoriférantes agissant par combustion)")</f>
        <v xml:space="preserve">   Préparations pour parfumer ou pour désodoriser les locaux, y.c. les préparations odoriférantes pour cérémonies religieuses (à l'excl. de l'agarbatti et des autres préparations odoriférantes agissant par combustion)</v>
      </c>
      <c r="C10133">
        <v>232964</v>
      </c>
      <c r="D10133">
        <v>500</v>
      </c>
    </row>
    <row r="10134" spans="1:4" x14ac:dyDescent="0.25">
      <c r="A10134" t="str">
        <f>T("   340111")</f>
        <v xml:space="preserve">   340111</v>
      </c>
      <c r="B10134" t="s">
        <v>101</v>
      </c>
      <c r="C10134">
        <v>13685443</v>
      </c>
      <c r="D10134">
        <v>29127</v>
      </c>
    </row>
    <row r="10135" spans="1:4" x14ac:dyDescent="0.25">
      <c r="A10135" t="str">
        <f>T("   340120")</f>
        <v xml:space="preserve">   340120</v>
      </c>
      <c r="B10135" t="str">
        <f>T("   Savons en flocons, en paillettes, en granulés ou en poudres et savons liquides ou pâteux")</f>
        <v xml:space="preserve">   Savons en flocons, en paillettes, en granulés ou en poudres et savons liquides ou pâteux</v>
      </c>
      <c r="C10135">
        <v>10490095</v>
      </c>
      <c r="D10135">
        <v>29127</v>
      </c>
    </row>
    <row r="10136" spans="1:4" x14ac:dyDescent="0.25">
      <c r="A10136" t="str">
        <f>T("   340220")</f>
        <v xml:space="preserve">   340220</v>
      </c>
      <c r="B10136" t="s">
        <v>103</v>
      </c>
      <c r="C10136">
        <v>147770</v>
      </c>
      <c r="D10136">
        <v>214</v>
      </c>
    </row>
    <row r="10137" spans="1:4" x14ac:dyDescent="0.25">
      <c r="A10137" t="str">
        <f>T("   340290")</f>
        <v xml:space="preserve">   340290</v>
      </c>
      <c r="B10137" t="s">
        <v>104</v>
      </c>
      <c r="C10137">
        <v>3667648</v>
      </c>
      <c r="D10137">
        <v>8760</v>
      </c>
    </row>
    <row r="10138" spans="1:4" x14ac:dyDescent="0.25">
      <c r="A10138" t="str">
        <f>T("   380810")</f>
        <v xml:space="preserve">   380810</v>
      </c>
      <c r="B10138" t="str">
        <f>T("   Insecticides présentés dans des formes ou emballages de vente au détail ou à l'état de préparations ou sous forme d'articles")</f>
        <v xml:space="preserve">   Insecticides présentés dans des formes ou emballages de vente au détail ou à l'état de préparations ou sous forme d'articles</v>
      </c>
      <c r="C10138">
        <v>120000</v>
      </c>
      <c r="D10138">
        <v>650</v>
      </c>
    </row>
    <row r="10139" spans="1:4" x14ac:dyDescent="0.25">
      <c r="A10139" t="str">
        <f>T("   390120")</f>
        <v xml:space="preserve">   390120</v>
      </c>
      <c r="B10139" t="str">
        <f>T("   Polyéthylène d'une densité &gt;= 0,94, sous formes primaires")</f>
        <v xml:space="preserve">   Polyéthylène d'une densité &gt;= 0,94, sous formes primaires</v>
      </c>
      <c r="C10139">
        <v>27234803</v>
      </c>
      <c r="D10139">
        <v>36216</v>
      </c>
    </row>
    <row r="10140" spans="1:4" x14ac:dyDescent="0.25">
      <c r="A10140" t="str">
        <f>T("   391810")</f>
        <v xml:space="preserve">   391810</v>
      </c>
      <c r="B10140" t="s">
        <v>128</v>
      </c>
      <c r="C10140">
        <v>17814564</v>
      </c>
      <c r="D10140">
        <v>54984</v>
      </c>
    </row>
    <row r="10141" spans="1:4" x14ac:dyDescent="0.25">
      <c r="A10141" t="str">
        <f>T("   391890")</f>
        <v xml:space="preserve">   391890</v>
      </c>
      <c r="B10141" t="s">
        <v>129</v>
      </c>
      <c r="C10141">
        <v>9930000</v>
      </c>
      <c r="D10141">
        <v>56744</v>
      </c>
    </row>
    <row r="10142" spans="1:4" x14ac:dyDescent="0.25">
      <c r="A10142" t="str">
        <f>T("   392321")</f>
        <v xml:space="preserve">   392321</v>
      </c>
      <c r="B10142" t="str">
        <f>T("   Sacs, sachets, pochettes et cornets, en polymères de l'éthylène")</f>
        <v xml:space="preserve">   Sacs, sachets, pochettes et cornets, en polymères de l'éthylène</v>
      </c>
      <c r="C10142">
        <v>100000</v>
      </c>
      <c r="D10142">
        <v>2297</v>
      </c>
    </row>
    <row r="10143" spans="1:4" x14ac:dyDescent="0.25">
      <c r="A10143" t="str">
        <f>T("   392329")</f>
        <v xml:space="preserve">   392329</v>
      </c>
      <c r="B10143" t="str">
        <f>T("   Sacs, sachets, pochettes et cornets, en matières plastiques (autres que les polymères de l'éthylène)")</f>
        <v xml:space="preserve">   Sacs, sachets, pochettes et cornets, en matières plastiques (autres que les polymères de l'éthylène)</v>
      </c>
      <c r="C10143">
        <v>52528</v>
      </c>
      <c r="D10143">
        <v>710</v>
      </c>
    </row>
    <row r="10144" spans="1:4" x14ac:dyDescent="0.25">
      <c r="A10144" t="str">
        <f>T("   392390")</f>
        <v xml:space="preserve">   392390</v>
      </c>
      <c r="B10144" t="s">
        <v>144</v>
      </c>
      <c r="C10144">
        <v>514420</v>
      </c>
      <c r="D10144">
        <v>567</v>
      </c>
    </row>
    <row r="10145" spans="1:4" x14ac:dyDescent="0.25">
      <c r="A10145" t="str">
        <f>T("   392490")</f>
        <v xml:space="preserve">   392490</v>
      </c>
      <c r="B10145" t="s">
        <v>145</v>
      </c>
      <c r="C10145">
        <v>5677170</v>
      </c>
      <c r="D10145">
        <v>2614</v>
      </c>
    </row>
    <row r="10146" spans="1:4" x14ac:dyDescent="0.25">
      <c r="A10146" t="str">
        <f>T("   392690")</f>
        <v xml:space="preserve">   392690</v>
      </c>
      <c r="B10146" t="str">
        <f>T("   Ouvrages en matières plastiques et ouvrages en autres matières du n° 3901 à 3914, n.d.a.")</f>
        <v xml:space="preserve">   Ouvrages en matières plastiques et ouvrages en autres matières du n° 3901 à 3914, n.d.a.</v>
      </c>
      <c r="C10146">
        <v>2507</v>
      </c>
      <c r="D10146">
        <v>1475</v>
      </c>
    </row>
    <row r="10147" spans="1:4" x14ac:dyDescent="0.25">
      <c r="A10147" t="str">
        <f>T("   480256")</f>
        <v xml:space="preserve">   480256</v>
      </c>
      <c r="B10147" t="s">
        <v>190</v>
      </c>
      <c r="C10147">
        <v>21896049</v>
      </c>
      <c r="D10147">
        <v>38444</v>
      </c>
    </row>
    <row r="10148" spans="1:4" x14ac:dyDescent="0.25">
      <c r="A10148" t="str">
        <f>T("   481820")</f>
        <v xml:space="preserve">   481820</v>
      </c>
      <c r="B10148" t="str">
        <f>T("   Mouchoirs, serviettes à démaquiller et essuie-mains, en pâte à papier, papier, ouate de cellulose ou nappes de fibres de cellulose")</f>
        <v xml:space="preserve">   Mouchoirs, serviettes à démaquiller et essuie-mains, en pâte à papier, papier, ouate de cellulose ou nappes de fibres de cellulose</v>
      </c>
      <c r="C10148">
        <v>329601</v>
      </c>
      <c r="D10148">
        <v>400</v>
      </c>
    </row>
    <row r="10149" spans="1:4" x14ac:dyDescent="0.25">
      <c r="A10149" t="str">
        <f>T("   491110")</f>
        <v xml:space="preserve">   491110</v>
      </c>
      <c r="B10149" t="str">
        <f>T("   Imprimés publicitaires, catalogues commerciaux et simil.")</f>
        <v xml:space="preserve">   Imprimés publicitaires, catalogues commerciaux et simil.</v>
      </c>
      <c r="C10149">
        <v>120041</v>
      </c>
      <c r="D10149">
        <v>98</v>
      </c>
    </row>
    <row r="10150" spans="1:4" x14ac:dyDescent="0.25">
      <c r="A10150" t="str">
        <f>T("   520829")</f>
        <v xml:space="preserve">   520829</v>
      </c>
      <c r="B10150" t="str">
        <f>T("   Tissus de coton, blanchis, contenant &gt;= 85% en poids de coton, d'un poids &lt;= 200 g/m² (à l'excl. des tissus à armure toile ou à armure sergé [y.c. le croisé] d'un rapport d'armure &lt;= 4)")</f>
        <v xml:space="preserve">   Tissus de coton, blanchis, contenant &gt;= 85% en poids de coton, d'un poids &lt;= 200 g/m² (à l'excl. des tissus à armure toile ou à armure sergé [y.c. le croisé] d'un rapport d'armure &lt;= 4)</v>
      </c>
      <c r="C10150">
        <v>48000000</v>
      </c>
      <c r="D10150">
        <v>73971</v>
      </c>
    </row>
    <row r="10151" spans="1:4" x14ac:dyDescent="0.25">
      <c r="A10151" t="str">
        <f>T("   520852")</f>
        <v xml:space="preserve">   520852</v>
      </c>
      <c r="B10151" t="str">
        <f>T("   Tissus de coton, imprimés, à armure toile, contenant &gt;= 85% en poids de coton, d'un poids &gt; 100 g/m² mais &lt;= 200 g/m²")</f>
        <v xml:space="preserve">   Tissus de coton, imprimés, à armure toile, contenant &gt;= 85% en poids de coton, d'un poids &gt; 100 g/m² mais &lt;= 200 g/m²</v>
      </c>
      <c r="C10151">
        <v>1344194555</v>
      </c>
      <c r="D10151">
        <v>1433674</v>
      </c>
    </row>
    <row r="10152" spans="1:4" x14ac:dyDescent="0.25">
      <c r="A10152" t="str">
        <f>T("   520859")</f>
        <v xml:space="preserve">   520859</v>
      </c>
      <c r="B10152" t="str">
        <f>T("   TISSUS DE COTON, IMPRIMÉS, CONTENANT &gt;= 85% EN POIDS DE COTON, D'UN POIDS &lt;= 200 G/M² (À L'EXCL. DES TISSUS À ARMURE TOILE)")</f>
        <v xml:space="preserve">   TISSUS DE COTON, IMPRIMÉS, CONTENANT &gt;= 85% EN POIDS DE COTON, D'UN POIDS &lt;= 200 G/M² (À L'EXCL. DES TISSUS À ARMURE TOILE)</v>
      </c>
      <c r="C10152">
        <v>167000314</v>
      </c>
      <c r="D10152">
        <v>184279</v>
      </c>
    </row>
    <row r="10153" spans="1:4" x14ac:dyDescent="0.25">
      <c r="A10153" t="str">
        <f>T("   520929")</f>
        <v xml:space="preserve">   520929</v>
      </c>
      <c r="B10153" t="str">
        <f>T("   Tissus de coton, blanchis, contenant &gt;= 85% en poids de coton, d'un poids &gt; 200 g/m² (à l'excl. des tissus à armure toile ou à armure sergé [y.c. le croisé] d'un rapport d'armure &lt;= 4)")</f>
        <v xml:space="preserve">   Tissus de coton, blanchis, contenant &gt;= 85% en poids de coton, d'un poids &gt; 200 g/m² (à l'excl. des tissus à armure toile ou à armure sergé [y.c. le croisé] d'un rapport d'armure &lt;= 4)</v>
      </c>
      <c r="C10153">
        <v>8000000</v>
      </c>
      <c r="D10153">
        <v>8437</v>
      </c>
    </row>
    <row r="10154" spans="1:4" x14ac:dyDescent="0.25">
      <c r="A10154" t="str">
        <f>T("   520951")</f>
        <v xml:space="preserve">   520951</v>
      </c>
      <c r="B10154" t="str">
        <f>T("   Tissus de coton, imprimés, à armure toile, contenant &gt;= 85% en poids de coton, d'un poids &gt; 200 g/m²")</f>
        <v xml:space="preserve">   Tissus de coton, imprimés, à armure toile, contenant &gt;= 85% en poids de coton, d'un poids &gt; 200 g/m²</v>
      </c>
      <c r="C10154">
        <v>17000238</v>
      </c>
      <c r="D10154">
        <v>18564</v>
      </c>
    </row>
    <row r="10155" spans="1:4" x14ac:dyDescent="0.25">
      <c r="A10155" t="str">
        <f>T("   521159")</f>
        <v xml:space="preserve">   521159</v>
      </c>
      <c r="B10155" t="s">
        <v>225</v>
      </c>
      <c r="C10155">
        <v>20000000</v>
      </c>
      <c r="D10155">
        <v>20425</v>
      </c>
    </row>
    <row r="10156" spans="1:4" x14ac:dyDescent="0.25">
      <c r="A10156" t="str">
        <f>T("   521225")</f>
        <v xml:space="preserve">   521225</v>
      </c>
      <c r="B10156" t="str">
        <f>T("   Tissus de coton, imprimés, contenant en prédominance, mais &lt; 85% en poids de coton, autres que mélangés principalement ou uniquement avec des fibres synthétiques ou artificielles, d'un poids &gt; 200 g/m²")</f>
        <v xml:space="preserve">   Tissus de coton, imprimés, contenant en prédominance, mais &lt; 85% en poids de coton, autres que mélangés principalement ou uniquement avec des fibres synthétiques ou artificielles, d'un poids &gt; 200 g/m²</v>
      </c>
      <c r="C10156">
        <v>31000302</v>
      </c>
      <c r="D10156">
        <v>37329</v>
      </c>
    </row>
    <row r="10157" spans="1:4" x14ac:dyDescent="0.25">
      <c r="A10157" t="str">
        <f>T("   551219")</f>
        <v xml:space="preserve">   551219</v>
      </c>
      <c r="B10157" t="str">
        <f>T("   Tissus, teints, imprimés ou en fils de diverses couleurs, de fibres discontinues de polyester, contenant &gt;= 85% en poids de ces fibres")</f>
        <v xml:space="preserve">   Tissus, teints, imprimés ou en fils de diverses couleurs, de fibres discontinues de polyester, contenant &gt;= 85% en poids de ces fibres</v>
      </c>
      <c r="C10157">
        <v>20000000</v>
      </c>
      <c r="D10157">
        <v>20425</v>
      </c>
    </row>
    <row r="10158" spans="1:4" x14ac:dyDescent="0.25">
      <c r="A10158" t="str">
        <f>T("   551299")</f>
        <v xml:space="preserve">   551299</v>
      </c>
      <c r="B10158" t="str">
        <f>T("   Tissus, teints, imprimés ou en fils de diverses couleurs, de fibres synthétiques discontinues, contenant &gt;= 85% en poids de ces fibres (à l'excl. des tissus de fibres discontinues acryliques ou modacryliques ou de fibres discontinues de polyester)")</f>
        <v xml:space="preserve">   Tissus, teints, imprimés ou en fils de diverses couleurs, de fibres synthétiques discontinues, contenant &gt;= 85% en poids de ces fibres (à l'excl. des tissus de fibres discontinues acryliques ou modacryliques ou de fibres discontinues de polyester)</v>
      </c>
      <c r="C10158">
        <v>28000176</v>
      </c>
      <c r="D10158">
        <v>40850</v>
      </c>
    </row>
    <row r="10159" spans="1:4" x14ac:dyDescent="0.25">
      <c r="A10159" t="str">
        <f>T("   551329")</f>
        <v xml:space="preserve">   551329</v>
      </c>
      <c r="B10159" t="str">
        <f>T("   Tissus, teints, de fibres synthétiques discontinues, contenant en prédominance, mais &lt; 85% en poids de ces fibres, mélangés principalement ou uniquement avec du coton, d'un poids &lt;= 170 g/m² (à l'excl. des tissus de fibres discontinues de polyester)")</f>
        <v xml:space="preserve">   Tissus, teints, de fibres synthétiques discontinues, contenant en prédominance, mais &lt; 85% en poids de ces fibres, mélangés principalement ou uniquement avec du coton, d'un poids &lt;= 170 g/m² (à l'excl. des tissus de fibres discontinues de polyester)</v>
      </c>
      <c r="C10159">
        <v>34000386</v>
      </c>
      <c r="D10159">
        <v>37162</v>
      </c>
    </row>
    <row r="10160" spans="1:4" x14ac:dyDescent="0.25">
      <c r="A10160" t="str">
        <f>T("   551349")</f>
        <v xml:space="preserve">   551349</v>
      </c>
      <c r="B10160" t="str">
        <f>T("   Tissus, imprimés, de fibres synthétiques discontinues, contenant en prédominance, mais &lt; 85% en poids de ces fibres, mélangés principalement ou uniquement avec du coton, d'un poids &lt;= 170 g/m² (à l'excl. des tissus de fibres discontinues de polyester)")</f>
        <v xml:space="preserve">   Tissus, imprimés, de fibres synthétiques discontinues, contenant en prédominance, mais &lt; 85% en poids de ces fibres, mélangés principalement ou uniquement avec du coton, d'un poids &lt;= 170 g/m² (à l'excl. des tissus de fibres discontinues de polyester)</v>
      </c>
      <c r="C10160">
        <v>6553696</v>
      </c>
      <c r="D10160">
        <v>18864</v>
      </c>
    </row>
    <row r="10161" spans="1:4" x14ac:dyDescent="0.25">
      <c r="A10161" t="str">
        <f>T("   551449")</f>
        <v xml:space="preserve">   551449</v>
      </c>
      <c r="B10161" t="str">
        <f>T("   Tissus, imprimés, de fibres synthétiques discontinues, contenant en prédominance, mais &lt; 85% en poids de ces fibres, mélangés principalement ou uniquement avec du coton, d'un poids &gt; 170 g/m² (à l'excl. des tissus de fibres discontinues de polyester)")</f>
        <v xml:space="preserve">   Tissus, imprimés, de fibres synthétiques discontinues, contenant en prédominance, mais &lt; 85% en poids de ces fibres, mélangés principalement ou uniquement avec du coton, d'un poids &gt; 170 g/m² (à l'excl. des tissus de fibres discontinues de polyester)</v>
      </c>
      <c r="C10161">
        <v>68000238</v>
      </c>
      <c r="D10161">
        <v>75182</v>
      </c>
    </row>
    <row r="10162" spans="1:4" x14ac:dyDescent="0.25">
      <c r="A10162" t="str">
        <f>T("   560110")</f>
        <v xml:space="preserve">   560110</v>
      </c>
      <c r="B10162" t="str">
        <f>T("   Serviettes et tampons hygiéniques, couches pour bébés et articles hygiéniques simil., en ouates")</f>
        <v xml:space="preserve">   Serviettes et tampons hygiéniques, couches pour bébés et articles hygiéniques simil., en ouates</v>
      </c>
      <c r="C10162">
        <v>1120000</v>
      </c>
      <c r="D10162">
        <v>150</v>
      </c>
    </row>
    <row r="10163" spans="1:4" x14ac:dyDescent="0.25">
      <c r="A10163" t="str">
        <f>T("   610990")</f>
        <v xml:space="preserve">   610990</v>
      </c>
      <c r="B10163" t="str">
        <f>T("   T-shirts et maillots de corps, en bonneterie, de matières textiles (sauf de coton)")</f>
        <v xml:space="preserve">   T-shirts et maillots de corps, en bonneterie, de matières textiles (sauf de coton)</v>
      </c>
      <c r="C10163">
        <v>36431</v>
      </c>
      <c r="D10163">
        <v>48</v>
      </c>
    </row>
    <row r="10164" spans="1:4" x14ac:dyDescent="0.25">
      <c r="A10164" t="str">
        <f>T("   611190")</f>
        <v xml:space="preserve">   611190</v>
      </c>
      <c r="B10164" t="str">
        <f>T("   VÊTEMENTS ET ACCESSOIRES DU VÊTEMENT, EN BONNETERIE, DE MATIÈRES TEXTILES, POUR BÉBÉS (SAUF DE COTON, FIBRES SYNTHÉTIQUES ET SAUF BONNETS)")</f>
        <v xml:space="preserve">   VÊTEMENTS ET ACCESSOIRES DU VÊTEMENT, EN BONNETERIE, DE MATIÈRES TEXTILES, POUR BÉBÉS (SAUF DE COTON, FIBRES SYNTHÉTIQUES ET SAUF BONNETS)</v>
      </c>
      <c r="C10164">
        <v>1212248</v>
      </c>
      <c r="D10164">
        <v>2296</v>
      </c>
    </row>
    <row r="10165" spans="1:4" x14ac:dyDescent="0.25">
      <c r="A10165" t="str">
        <f>T("   611490")</f>
        <v xml:space="preserve">   611490</v>
      </c>
      <c r="B10165" t="str">
        <f>T("   Vêtements spéciaux destinés à des fins professionnelles, sportives ou autres n.d.a., en bonneterie, de matières textiles (sauf de laine, poils fins, coton, fibres synthétiques ou artificielles)")</f>
        <v xml:space="preserve">   Vêtements spéciaux destinés à des fins professionnelles, sportives ou autres n.d.a., en bonneterie, de matières textiles (sauf de laine, poils fins, coton, fibres synthétiques ou artificielles)</v>
      </c>
      <c r="C10165">
        <v>13108258</v>
      </c>
      <c r="D10165">
        <v>39576</v>
      </c>
    </row>
    <row r="10166" spans="1:4" x14ac:dyDescent="0.25">
      <c r="A10166" t="str">
        <f>T("   620329")</f>
        <v xml:space="preserve">   620329</v>
      </c>
      <c r="B10166" t="str">
        <f>T("   ENSEMBLES DE MATIÈRES TEXTILES, POUR HOMMES OU GARÇONNETS (AUTRES QUE DE COTON OU FIBRES SYNTHÉTIQUES, AUTRES QU'EN BONNETERIE ET SAUF ENSEMBLES DE SKI ET MAILLOTS, CULOTTES ET SLIPS DE BAIN)")</f>
        <v xml:space="preserve">   ENSEMBLES DE MATIÈRES TEXTILES, POUR HOMMES OU GARÇONNETS (AUTRES QUE DE COTON OU FIBRES SYNTHÉTIQUES, AUTRES QU'EN BONNETERIE ET SAUF ENSEMBLES DE SKI ET MAILLOTS, CULOTTES ET SLIPS DE BAIN)</v>
      </c>
      <c r="C10166">
        <v>2000328</v>
      </c>
      <c r="D10166">
        <v>1500</v>
      </c>
    </row>
    <row r="10167" spans="1:4" x14ac:dyDescent="0.25">
      <c r="A10167" t="str">
        <f>T("   620429")</f>
        <v xml:space="preserve">   620429</v>
      </c>
      <c r="B10167" t="str">
        <f>T("   Ensembles de matières textiles, pour femmes ou fillettes (autres que laine, poils fins, coton ou fibres synthétiques, autres qu'en bonneterie et sauf, ensembles de ski et vêtements de bain)")</f>
        <v xml:space="preserve">   Ensembles de matières textiles, pour femmes ou fillettes (autres que laine, poils fins, coton ou fibres synthétiques, autres qu'en bonneterie et sauf, ensembles de ski et vêtements de bain)</v>
      </c>
      <c r="C10167">
        <v>650000</v>
      </c>
      <c r="D10167">
        <v>385</v>
      </c>
    </row>
    <row r="10168" spans="1:4" x14ac:dyDescent="0.25">
      <c r="A10168" t="str">
        <f>T("   620443")</f>
        <v xml:space="preserve">   620443</v>
      </c>
      <c r="B10168" t="str">
        <f>T("   Robes de fibres synthétiques, pour femmes ou fillettes (autres qu'en bonneterie et sauf combinaisons et fonds de robes)")</f>
        <v xml:space="preserve">   Robes de fibres synthétiques, pour femmes ou fillettes (autres qu'en bonneterie et sauf combinaisons et fonds de robes)</v>
      </c>
      <c r="C10168">
        <v>7270301</v>
      </c>
      <c r="D10168">
        <v>7040</v>
      </c>
    </row>
    <row r="10169" spans="1:4" x14ac:dyDescent="0.25">
      <c r="A10169" t="str">
        <f>T("   620590")</f>
        <v xml:space="preserve">   620590</v>
      </c>
      <c r="B10169"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10169">
        <v>1521304</v>
      </c>
      <c r="D10169">
        <v>3740</v>
      </c>
    </row>
    <row r="10170" spans="1:4" x14ac:dyDescent="0.25">
      <c r="A10170" t="str">
        <f>T("   630229")</f>
        <v xml:space="preserve">   630229</v>
      </c>
      <c r="B10170" t="str">
        <f>T("   Linge de lit, de matières textiles, imprimé (autre que de coton, fibres synthétiques ou artificielles, autres qu'en bonneterie)")</f>
        <v xml:space="preserve">   Linge de lit, de matières textiles, imprimé (autre que de coton, fibres synthétiques ou artificielles, autres qu'en bonneterie)</v>
      </c>
      <c r="C10170">
        <v>331231</v>
      </c>
      <c r="D10170">
        <v>300</v>
      </c>
    </row>
    <row r="10171" spans="1:4" x14ac:dyDescent="0.25">
      <c r="A10171" t="str">
        <f>T("   630491")</f>
        <v xml:space="preserve">   630491</v>
      </c>
      <c r="B10171" t="s">
        <v>276</v>
      </c>
      <c r="C10171">
        <v>23909742</v>
      </c>
      <c r="D10171">
        <v>22699</v>
      </c>
    </row>
    <row r="10172" spans="1:4" x14ac:dyDescent="0.25">
      <c r="A10172" t="str">
        <f>T("   630510")</f>
        <v xml:space="preserve">   630510</v>
      </c>
      <c r="B10172" t="str">
        <f>T("   Sacs et sachets d'emballage de jute ou d'autres fibres textiles libériennes du n° 5303")</f>
        <v xml:space="preserve">   Sacs et sachets d'emballage de jute ou d'autres fibres textiles libériennes du n° 5303</v>
      </c>
      <c r="C10172">
        <v>145624</v>
      </c>
      <c r="D10172">
        <v>155</v>
      </c>
    </row>
    <row r="10173" spans="1:4" x14ac:dyDescent="0.25">
      <c r="A10173" t="str">
        <f>T("   630533")</f>
        <v xml:space="preserve">   630533</v>
      </c>
      <c r="B10173" t="str">
        <f>T("   Sacs et sachets d'emballage obtenus à partir de lames ou formes simil., de polyéthylène ou polypropylène (à l'excl. des contenants souples pour matières en vrac)")</f>
        <v xml:space="preserve">   Sacs et sachets d'emballage obtenus à partir de lames ou formes simil., de polyéthylène ou polypropylène (à l'excl. des contenants souples pour matières en vrac)</v>
      </c>
      <c r="C10173">
        <v>35403743</v>
      </c>
      <c r="D10173">
        <v>16660</v>
      </c>
    </row>
    <row r="10174" spans="1:4" x14ac:dyDescent="0.25">
      <c r="A10174" t="str">
        <f>T("   630590")</f>
        <v xml:space="preserve">   630590</v>
      </c>
      <c r="B10174" t="str">
        <f>T("   Sacs et sachets d'emballage de matières textiles (autres qu'en matières textiles synthétiques ou artificielles, coton, jute ou autres fibres textiles libérienne du n° 5303)")</f>
        <v xml:space="preserve">   Sacs et sachets d'emballage de matières textiles (autres qu'en matières textiles synthétiques ou artificielles, coton, jute ou autres fibres textiles libérienne du n° 5303)</v>
      </c>
      <c r="C10174">
        <v>29518</v>
      </c>
      <c r="D10174">
        <v>300</v>
      </c>
    </row>
    <row r="10175" spans="1:4" x14ac:dyDescent="0.25">
      <c r="A10175" t="str">
        <f>T("   630900")</f>
        <v xml:space="preserve">   630900</v>
      </c>
      <c r="B10175" t="s">
        <v>280</v>
      </c>
      <c r="C10175">
        <v>11075155</v>
      </c>
      <c r="D10175">
        <v>20140</v>
      </c>
    </row>
    <row r="10176" spans="1:4" x14ac:dyDescent="0.25">
      <c r="A10176" t="str">
        <f>T("   640299")</f>
        <v xml:space="preserve">   640299</v>
      </c>
      <c r="B10176" t="s">
        <v>285</v>
      </c>
      <c r="C10176">
        <v>5306180</v>
      </c>
      <c r="D10176">
        <v>10020</v>
      </c>
    </row>
    <row r="10177" spans="1:4" x14ac:dyDescent="0.25">
      <c r="A10177" t="str">
        <f>T("   640340")</f>
        <v xml:space="preserve">   640340</v>
      </c>
      <c r="B10177" t="str">
        <f>T("   Chaussures, à semelles extérieures en caoutchouc, matière plastique, cuir naturel ou reconstitué et dessus en cuir naturel, comportant à l'avant une coquille de protection en métal (sauf chaussures de sport ou d'orthopédie)")</f>
        <v xml:space="preserve">   Chaussures, à semelles extérieures en caoutchouc, matière plastique, cuir naturel ou reconstitué et dessus en cuir naturel, comportant à l'avant une coquille de protection en métal (sauf chaussures de sport ou d'orthopédie)</v>
      </c>
      <c r="C10177">
        <v>425000</v>
      </c>
      <c r="D10177">
        <v>337</v>
      </c>
    </row>
    <row r="10178" spans="1:4" x14ac:dyDescent="0.25">
      <c r="A10178" t="str">
        <f>T("   640590")</f>
        <v xml:space="preserve">   640590</v>
      </c>
      <c r="B10178" t="s">
        <v>290</v>
      </c>
      <c r="C10178">
        <v>575000</v>
      </c>
      <c r="D10178">
        <v>380</v>
      </c>
    </row>
    <row r="10179" spans="1:4" x14ac:dyDescent="0.25">
      <c r="A10179" t="str">
        <f>T("   690890")</f>
        <v xml:space="preserve">   690890</v>
      </c>
      <c r="B10179" t="s">
        <v>311</v>
      </c>
      <c r="C10179">
        <v>12650526</v>
      </c>
      <c r="D10179">
        <v>17255</v>
      </c>
    </row>
    <row r="10180" spans="1:4" x14ac:dyDescent="0.25">
      <c r="A10180" t="str">
        <f>T("   701399")</f>
        <v xml:space="preserve">   701399</v>
      </c>
      <c r="B10180" t="s">
        <v>328</v>
      </c>
      <c r="C10180">
        <v>3749476</v>
      </c>
      <c r="D10180">
        <v>2437</v>
      </c>
    </row>
    <row r="10181" spans="1:4" x14ac:dyDescent="0.25">
      <c r="A10181" t="str">
        <f>T("   731100")</f>
        <v xml:space="preserve">   731100</v>
      </c>
      <c r="B10181" t="str">
        <f>T("   Récipients en fonte, fer ou acier, pour gaz comprimés ou liquéfiés (autres que conteneurs spécialement conçus ou équipés pour un ou plusieurs moyens de transport)")</f>
        <v xml:space="preserve">   Récipients en fonte, fer ou acier, pour gaz comprimés ou liquéfiés (autres que conteneurs spécialement conçus ou équipés pour un ou plusieurs moyens de transport)</v>
      </c>
      <c r="C10181">
        <v>305567538</v>
      </c>
      <c r="D10181">
        <v>259151</v>
      </c>
    </row>
    <row r="10182" spans="1:4" x14ac:dyDescent="0.25">
      <c r="A10182" t="str">
        <f>T("   741521")</f>
        <v xml:space="preserve">   741521</v>
      </c>
      <c r="B10182" t="str">
        <f>T("   Rondelles, y.c. -les rondelles destinées à faire ressort-, en cuivre")</f>
        <v xml:space="preserve">   Rondelles, y.c. -les rondelles destinées à faire ressort-, en cuivre</v>
      </c>
      <c r="C10182">
        <v>556190</v>
      </c>
      <c r="D10182">
        <v>5.3</v>
      </c>
    </row>
    <row r="10183" spans="1:4" x14ac:dyDescent="0.25">
      <c r="A10183" t="str">
        <f>T("   841480")</f>
        <v xml:space="preserve">   841480</v>
      </c>
      <c r="B10183" t="s">
        <v>394</v>
      </c>
      <c r="C10183">
        <v>1333815</v>
      </c>
      <c r="D10183">
        <v>1334</v>
      </c>
    </row>
    <row r="10184" spans="1:4" x14ac:dyDescent="0.25">
      <c r="A10184" t="str">
        <f>T("   841510")</f>
        <v xml:space="preserve">   841510</v>
      </c>
      <c r="B10184" t="s">
        <v>395</v>
      </c>
      <c r="C10184">
        <v>122739171</v>
      </c>
      <c r="D10184">
        <v>135990</v>
      </c>
    </row>
    <row r="10185" spans="1:4" x14ac:dyDescent="0.25">
      <c r="A10185" t="str">
        <f>T("   841590")</f>
        <v xml:space="preserve">   841590</v>
      </c>
      <c r="B10185" t="str">
        <f>T("   Parties de machines et appareils pour le conditionnement de l'air comprenant un ventilateur à moteur et des dispositifs propres à modifier la température et l'humidité de l'air, n.d.a.")</f>
        <v xml:space="preserve">   Parties de machines et appareils pour le conditionnement de l'air comprenant un ventilateur à moteur et des dispositifs propres à modifier la température et l'humidité de l'air, n.d.a.</v>
      </c>
      <c r="C10185">
        <v>5953143</v>
      </c>
      <c r="D10185">
        <v>8782</v>
      </c>
    </row>
    <row r="10186" spans="1:4" x14ac:dyDescent="0.25">
      <c r="A10186" t="str">
        <f>T("   841810")</f>
        <v xml:space="preserve">   841810</v>
      </c>
      <c r="B10186" t="str">
        <f>T("   Réfrigérateurs et congélateurs-conservateurs combinés, avec portes extérieures séparées")</f>
        <v xml:space="preserve">   Réfrigérateurs et congélateurs-conservateurs combinés, avec portes extérieures séparées</v>
      </c>
      <c r="C10186">
        <v>19949874</v>
      </c>
      <c r="D10186">
        <v>10749</v>
      </c>
    </row>
    <row r="10187" spans="1:4" x14ac:dyDescent="0.25">
      <c r="A10187" t="str">
        <f>T("   841829")</f>
        <v xml:space="preserve">   841829</v>
      </c>
      <c r="B10187" t="str">
        <f>T("   Réfrigérateurs ménagers à absorption, non-électriques")</f>
        <v xml:space="preserve">   Réfrigérateurs ménagers à absorption, non-électriques</v>
      </c>
      <c r="C10187">
        <v>8917000</v>
      </c>
      <c r="D10187">
        <v>6200</v>
      </c>
    </row>
    <row r="10188" spans="1:4" x14ac:dyDescent="0.25">
      <c r="A10188" t="str">
        <f>T("   841830")</f>
        <v xml:space="preserve">   841830</v>
      </c>
      <c r="B10188" t="str">
        <f>T("   Meubles congélateurs-conservateurs du type coffre, capacité &lt;= 800 l")</f>
        <v xml:space="preserve">   Meubles congélateurs-conservateurs du type coffre, capacité &lt;= 800 l</v>
      </c>
      <c r="C10188">
        <v>6502359</v>
      </c>
      <c r="D10188">
        <v>6503</v>
      </c>
    </row>
    <row r="10189" spans="1:4" x14ac:dyDescent="0.25">
      <c r="A10189" t="str">
        <f>T("   841899")</f>
        <v xml:space="preserve">   841899</v>
      </c>
      <c r="B10189" t="str">
        <f>T("   Parties de réfrigérateurs et de congélateurs-conservateurs du type armoire et du type coffre et d'autres matériel, machines et appareils pour la production du froid, parties de pompes à chaleur, n.d.a.")</f>
        <v xml:space="preserve">   Parties de réfrigérateurs et de congélateurs-conservateurs du type armoire et du type coffre et d'autres matériel, machines et appareils pour la production du froid, parties de pompes à chaleur, n.d.a.</v>
      </c>
      <c r="C10189">
        <v>38828</v>
      </c>
      <c r="D10189">
        <v>18</v>
      </c>
    </row>
    <row r="10190" spans="1:4" x14ac:dyDescent="0.25">
      <c r="A10190" t="str">
        <f>T("   847160")</f>
        <v xml:space="preserve">   847160</v>
      </c>
      <c r="B10190" t="str">
        <f>T("   UNITÉS D'ENTRÉE OU DE SORTIE POUR MACHINES AUTOMATIQUES DE TRAITEMENT DE L'INFORMATION, POUVANT COMPORTER, SOUS LA MÊME ENVELOPPE, DES UNITÉS DE MÉMOIRE")</f>
        <v xml:space="preserve">   UNITÉS D'ENTRÉE OU DE SORTIE POUR MACHINES AUTOMATIQUES DE TRAITEMENT DE L'INFORMATION, POUVANT COMPORTER, SOUS LA MÊME ENVELOPPE, DES UNITÉS DE MÉMOIRE</v>
      </c>
      <c r="C10190">
        <v>6591127</v>
      </c>
      <c r="D10190">
        <v>5067</v>
      </c>
    </row>
    <row r="10191" spans="1:4" x14ac:dyDescent="0.25">
      <c r="A10191" t="str">
        <f>T("   847190")</f>
        <v xml:space="preserve">   847190</v>
      </c>
      <c r="B10191"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10191">
        <v>2249829</v>
      </c>
      <c r="D10191">
        <v>221</v>
      </c>
    </row>
    <row r="10192" spans="1:4" x14ac:dyDescent="0.25">
      <c r="A10192" t="str">
        <f>T("   847230")</f>
        <v xml:space="preserve">   847230</v>
      </c>
      <c r="B10192" t="str">
        <f>T("   Machines pour le triage, le pliage, la mise sous enveloppe ou sous bande de courrier, machines à ouvrir, fermer ou sceller la correspondance et machines à apposer ou à oblitérer les timbres")</f>
        <v xml:space="preserve">   Machines pour le triage, le pliage, la mise sous enveloppe ou sous bande de courrier, machines à ouvrir, fermer ou sceller la correspondance et machines à apposer ou à oblitérer les timbres</v>
      </c>
      <c r="C10192">
        <v>150000</v>
      </c>
      <c r="D10192">
        <v>50</v>
      </c>
    </row>
    <row r="10193" spans="1:4" x14ac:dyDescent="0.25">
      <c r="A10193" t="str">
        <f>T("   848130")</f>
        <v xml:space="preserve">   848130</v>
      </c>
      <c r="B10193" t="str">
        <f>T("   Clapets et soupapes de retenue, pour tuyauteries, chaudières, réservoirs, cuves ou contenants simil.")</f>
        <v xml:space="preserve">   Clapets et soupapes de retenue, pour tuyauteries, chaudières, réservoirs, cuves ou contenants simil.</v>
      </c>
      <c r="C10193">
        <v>1693967</v>
      </c>
      <c r="D10193">
        <v>118</v>
      </c>
    </row>
    <row r="10194" spans="1:4" x14ac:dyDescent="0.25">
      <c r="A10194" t="str">
        <f>T("   848180")</f>
        <v xml:space="preserve">   848180</v>
      </c>
      <c r="B10194" t="str">
        <f>T("   Articles de robinetterie et organes simil. pour tuyauteries, etc. (à l'excl. des détendeurs, valves pour transmissions oléohydrauliques ou pneumatiques, clapets et soupapes de retenue et sauf soupapes de trop-plein ou de sûreté)")</f>
        <v xml:space="preserve">   Articles de robinetterie et organes simil. pour tuyauteries, etc. (à l'excl. des détendeurs, valves pour transmissions oléohydrauliques ou pneumatiques, clapets et soupapes de retenue et sauf soupapes de trop-plein ou de sûreté)</v>
      </c>
      <c r="C10194">
        <v>11598336</v>
      </c>
      <c r="D10194">
        <v>2001</v>
      </c>
    </row>
    <row r="10195" spans="1:4" x14ac:dyDescent="0.25">
      <c r="A10195" t="str">
        <f>T("   850131")</f>
        <v xml:space="preserve">   850131</v>
      </c>
      <c r="B10195" t="str">
        <f>T("   Moteurs à courant continu, puissance &lt;= 750 W mais &gt; 37,5 W et génératrices à courant continu, puissance &lt;= 750 W")</f>
        <v xml:space="preserve">   Moteurs à courant continu, puissance &lt;= 750 W mais &gt; 37,5 W et génératrices à courant continu, puissance &lt;= 750 W</v>
      </c>
      <c r="C10195">
        <v>10066</v>
      </c>
      <c r="D10195">
        <v>5</v>
      </c>
    </row>
    <row r="10196" spans="1:4" x14ac:dyDescent="0.25">
      <c r="A10196" t="str">
        <f>T("   850211")</f>
        <v xml:space="preserve">   850211</v>
      </c>
      <c r="B10196" t="s">
        <v>444</v>
      </c>
      <c r="C10196">
        <v>259913</v>
      </c>
      <c r="D10196">
        <v>72</v>
      </c>
    </row>
    <row r="10197" spans="1:4" x14ac:dyDescent="0.25">
      <c r="A10197" t="str">
        <f>T("   851829")</f>
        <v xml:space="preserve">   851829</v>
      </c>
      <c r="B10197" t="str">
        <f>T("   Haut-parleurs sans enceinte")</f>
        <v xml:space="preserve">   Haut-parleurs sans enceinte</v>
      </c>
      <c r="C10197">
        <v>4126391</v>
      </c>
      <c r="D10197">
        <v>7000</v>
      </c>
    </row>
    <row r="10198" spans="1:4" x14ac:dyDescent="0.25">
      <c r="A10198" t="str">
        <f>T("   852190")</f>
        <v xml:space="preserve">   852190</v>
      </c>
      <c r="B10198" t="s">
        <v>458</v>
      </c>
      <c r="C10198">
        <v>2412194</v>
      </c>
      <c r="D10198">
        <v>5000</v>
      </c>
    </row>
    <row r="10199" spans="1:4" x14ac:dyDescent="0.25">
      <c r="A10199" t="str">
        <f>T("   852812")</f>
        <v xml:space="preserve">   852812</v>
      </c>
      <c r="B10199"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10199">
        <v>121060513</v>
      </c>
      <c r="D10199">
        <v>72852</v>
      </c>
    </row>
    <row r="10200" spans="1:4" x14ac:dyDescent="0.25">
      <c r="A10200" t="str">
        <f>T("   852990")</f>
        <v xml:space="preserve">   852990</v>
      </c>
      <c r="B10200" t="s">
        <v>466</v>
      </c>
      <c r="C10200">
        <v>4535370</v>
      </c>
      <c r="D10200">
        <v>4349</v>
      </c>
    </row>
    <row r="10201" spans="1:4" x14ac:dyDescent="0.25">
      <c r="A10201" t="str">
        <f>T("   854420")</f>
        <v xml:space="preserve">   854420</v>
      </c>
      <c r="B10201" t="str">
        <f>T("   Câbles coaxiaux et autres conducteurs électriques coaxiaux, isolés")</f>
        <v xml:space="preserve">   Câbles coaxiaux et autres conducteurs électriques coaxiaux, isolés</v>
      </c>
      <c r="C10201">
        <v>82400</v>
      </c>
      <c r="D10201">
        <v>40</v>
      </c>
    </row>
    <row r="10202" spans="1:4" x14ac:dyDescent="0.25">
      <c r="A10202" t="str">
        <f>T("   870322")</f>
        <v xml:space="preserve">   870322</v>
      </c>
      <c r="B10202" t="s">
        <v>475</v>
      </c>
      <c r="C10202">
        <v>32802696</v>
      </c>
      <c r="D10202">
        <v>6100</v>
      </c>
    </row>
    <row r="10203" spans="1:4" x14ac:dyDescent="0.25">
      <c r="A10203" t="str">
        <f>T("   870421")</f>
        <v xml:space="preserve">   870421</v>
      </c>
      <c r="B10203" t="s">
        <v>481</v>
      </c>
      <c r="C10203">
        <v>98751096</v>
      </c>
      <c r="D10203">
        <v>18010</v>
      </c>
    </row>
    <row r="10204" spans="1:4" x14ac:dyDescent="0.25">
      <c r="A10204" t="str">
        <f>T("   870899")</f>
        <v xml:space="preserve">   870899</v>
      </c>
      <c r="B10204"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10204">
        <v>1410970</v>
      </c>
      <c r="D10204">
        <v>221</v>
      </c>
    </row>
    <row r="10205" spans="1:4" x14ac:dyDescent="0.25">
      <c r="A10205" t="str">
        <f>T("   940150")</f>
        <v xml:space="preserve">   940150</v>
      </c>
      <c r="B10205" t="str">
        <f>T("   Sièges en rotin, en osier, en bambou ou en matières simil.")</f>
        <v xml:space="preserve">   Sièges en rotin, en osier, en bambou ou en matières simil.</v>
      </c>
      <c r="C10205">
        <v>2244413</v>
      </c>
      <c r="D10205">
        <v>1500</v>
      </c>
    </row>
    <row r="10206" spans="1:4" x14ac:dyDescent="0.25">
      <c r="A10206" t="str">
        <f>T("   940180")</f>
        <v xml:space="preserve">   940180</v>
      </c>
      <c r="B10206" t="str">
        <f>T("   Sièges, n.d.a.")</f>
        <v xml:space="preserve">   Sièges, n.d.a.</v>
      </c>
      <c r="C10206">
        <v>561103</v>
      </c>
      <c r="D10206">
        <v>800</v>
      </c>
    </row>
    <row r="10207" spans="1:4" x14ac:dyDescent="0.25">
      <c r="A10207" t="str">
        <f>T("   940350")</f>
        <v xml:space="preserve">   940350</v>
      </c>
      <c r="B10207" t="str">
        <f>T("   Meubles pour chambres à coucher, en bois (sauf sièges)")</f>
        <v xml:space="preserve">   Meubles pour chambres à coucher, en bois (sauf sièges)</v>
      </c>
      <c r="C10207">
        <v>2524962</v>
      </c>
      <c r="D10207">
        <v>1700</v>
      </c>
    </row>
    <row r="10208" spans="1:4" x14ac:dyDescent="0.25">
      <c r="A10208" t="str">
        <f>T("   940380")</f>
        <v xml:space="preserve">   940380</v>
      </c>
      <c r="B10208" t="str">
        <f>T("   Meubles en rotin, osier, bambou ou autres matières (sauf métal, bois et matières plastiques)")</f>
        <v xml:space="preserve">   Meubles en rotin, osier, bambou ou autres matières (sauf métal, bois et matières plastiques)</v>
      </c>
      <c r="C10208">
        <v>1413977</v>
      </c>
      <c r="D10208">
        <v>1000</v>
      </c>
    </row>
    <row r="10209" spans="1:4" x14ac:dyDescent="0.25">
      <c r="A10209" t="str">
        <f>T("   940510")</f>
        <v xml:space="preserve">   940510</v>
      </c>
      <c r="B10209" t="str">
        <f>T("   Lustres et autres appareils d'éclairage électrique à suspendre ou à fixer au plafond ou au mur (sauf pour l'éclairage des espaces et voies publiques)")</f>
        <v xml:space="preserve">   Lustres et autres appareils d'éclairage électrique à suspendre ou à fixer au plafond ou au mur (sauf pour l'éclairage des espaces et voies publiques)</v>
      </c>
      <c r="C10209">
        <v>2834746</v>
      </c>
      <c r="D10209">
        <v>4384</v>
      </c>
    </row>
    <row r="10210" spans="1:4" x14ac:dyDescent="0.25">
      <c r="A10210" t="str">
        <f>T("   950100")</f>
        <v xml:space="preserve">   950100</v>
      </c>
      <c r="B10210" t="str">
        <f>T("   JOUETS À ROUES CONÇUS POUR ÊTRE MONTÉS PAR LES ENFANTS, P.EX. TRICYCLES, TROTTINETTES, AUTOS À PÉDALES (À L'EXCL. DES CYCLES HABITUELS AVEC ROULEMENT À BILLES); LANDAUS ET POUSSETTES POUR POUPÉES")</f>
        <v xml:space="preserve">   JOUETS À ROUES CONÇUS POUR ÊTRE MONTÉS PAR LES ENFANTS, P.EX. TRICYCLES, TROTTINETTES, AUTOS À PÉDALES (À L'EXCL. DES CYCLES HABITUELS AVEC ROULEMENT À BILLES); LANDAUS ET POUSSETTES POUR POUPÉES</v>
      </c>
      <c r="C10210">
        <v>350000</v>
      </c>
      <c r="D10210">
        <v>800</v>
      </c>
    </row>
    <row r="10211" spans="1:4" x14ac:dyDescent="0.25">
      <c r="A10211" t="str">
        <f>T("   950390")</f>
        <v xml:space="preserve">   950390</v>
      </c>
      <c r="B10211" t="str">
        <f>T("   Jouets, n.d.a.")</f>
        <v xml:space="preserve">   Jouets, n.d.a.</v>
      </c>
      <c r="C10211">
        <v>1058252</v>
      </c>
      <c r="D10211">
        <v>2004</v>
      </c>
    </row>
    <row r="10212" spans="1:4" x14ac:dyDescent="0.25">
      <c r="A10212" t="str">
        <f>T("   961800")</f>
        <v xml:space="preserve">   961800</v>
      </c>
      <c r="B10212" t="str">
        <f>T("   Mannequins et articles simil.; automates et scènes animées pour étalages (à l'excl. des modèles utilisés pour l'enseignement, des poupées présentant des caractères de jouet et des marchandises présentées sur ces mannequins)")</f>
        <v xml:space="preserve">   Mannequins et articles simil.; automates et scènes animées pour étalages (à l'excl. des modèles utilisés pour l'enseignement, des poupées présentant des caractères de jouet et des marchandises présentées sur ces mannequins)</v>
      </c>
      <c r="C10212">
        <v>4100360</v>
      </c>
      <c r="D10212">
        <v>4000</v>
      </c>
    </row>
    <row r="10213" spans="1:4" x14ac:dyDescent="0.25">
      <c r="A10213" t="str">
        <f>T("TK")</f>
        <v>TK</v>
      </c>
      <c r="B10213" t="str">
        <f>T("Tokelau")</f>
        <v>Tokelau</v>
      </c>
    </row>
    <row r="10214" spans="1:4" x14ac:dyDescent="0.25">
      <c r="A10214" t="str">
        <f>T("   ZZ_Total_Produit_SH6")</f>
        <v xml:space="preserve">   ZZ_Total_Produit_SH6</v>
      </c>
      <c r="B10214" t="str">
        <f>T("   ZZ_Total_Produit_SH6")</f>
        <v xml:space="preserve">   ZZ_Total_Produit_SH6</v>
      </c>
      <c r="C10214">
        <v>926000</v>
      </c>
      <c r="D10214">
        <v>417</v>
      </c>
    </row>
    <row r="10215" spans="1:4" x14ac:dyDescent="0.25">
      <c r="A10215" t="str">
        <f>T("   610422")</f>
        <v xml:space="preserve">   610422</v>
      </c>
      <c r="B10215" t="str">
        <f>T("   Ensembles en bonneterie, de coton, pour femmes ou fillettes (sauf ensembles de ski et maillots, culottes et slips de bain)")</f>
        <v xml:space="preserve">   Ensembles en bonneterie, de coton, pour femmes ou fillettes (sauf ensembles de ski et maillots, culottes et slips de bain)</v>
      </c>
      <c r="C10215">
        <v>463000</v>
      </c>
      <c r="D10215">
        <v>210</v>
      </c>
    </row>
    <row r="10216" spans="1:4" x14ac:dyDescent="0.25">
      <c r="A10216" t="str">
        <f>T("   610510")</f>
        <v xml:space="preserve">   610510</v>
      </c>
      <c r="B10216" t="str">
        <f>T("   Chemises et chemisettes, en bonneterie, de coton, pour hommes ou garçonnets (sauf chemises de nuit, T-shirts et maillots de corps)")</f>
        <v xml:space="preserve">   Chemises et chemisettes, en bonneterie, de coton, pour hommes ou garçonnets (sauf chemises de nuit, T-shirts et maillots de corps)</v>
      </c>
      <c r="C10216">
        <v>463000</v>
      </c>
      <c r="D10216">
        <v>207</v>
      </c>
    </row>
    <row r="10217" spans="1:4" x14ac:dyDescent="0.25">
      <c r="A10217" t="str">
        <f>T("TN")</f>
        <v>TN</v>
      </c>
      <c r="B10217" t="str">
        <f>T("Tunisie")</f>
        <v>Tunisie</v>
      </c>
    </row>
    <row r="10218" spans="1:4" x14ac:dyDescent="0.25">
      <c r="A10218" t="str">
        <f>T("   ZZ_Total_Produit_SH6")</f>
        <v xml:space="preserve">   ZZ_Total_Produit_SH6</v>
      </c>
      <c r="B10218" t="str">
        <f>T("   ZZ_Total_Produit_SH6")</f>
        <v xml:space="preserve">   ZZ_Total_Produit_SH6</v>
      </c>
      <c r="C10218">
        <v>1859618663.7349999</v>
      </c>
      <c r="D10218">
        <v>7629391.25</v>
      </c>
    </row>
    <row r="10219" spans="1:4" x14ac:dyDescent="0.25">
      <c r="A10219" t="str">
        <f>T("   020727")</f>
        <v xml:space="preserve">   020727</v>
      </c>
      <c r="B10219" t="str">
        <f>T("   Morceaux et abats comestibles de dindes et dindons [des espèces domestiques], congelés")</f>
        <v xml:space="preserve">   Morceaux et abats comestibles de dindes et dindons [des espèces domestiques], congelés</v>
      </c>
      <c r="C10219">
        <v>77750000</v>
      </c>
      <c r="D10219">
        <v>125000</v>
      </c>
    </row>
    <row r="10220" spans="1:4" x14ac:dyDescent="0.25">
      <c r="A10220" t="str">
        <f>T("   100110")</f>
        <v xml:space="preserve">   100110</v>
      </c>
      <c r="B10220" t="str">
        <f>T("   Froment [blé] dur")</f>
        <v xml:space="preserve">   Froment [blé] dur</v>
      </c>
      <c r="C10220">
        <v>17250000</v>
      </c>
      <c r="D10220">
        <v>115270</v>
      </c>
    </row>
    <row r="10221" spans="1:4" x14ac:dyDescent="0.25">
      <c r="A10221" t="str">
        <f>T("   110100")</f>
        <v xml:space="preserve">   110100</v>
      </c>
      <c r="B10221" t="str">
        <f>T("   Farines de froment [blé] ou de méteil")</f>
        <v xml:space="preserve">   Farines de froment [blé] ou de méteil</v>
      </c>
      <c r="C10221">
        <v>37907826.734999999</v>
      </c>
      <c r="D10221">
        <v>138000</v>
      </c>
    </row>
    <row r="10222" spans="1:4" x14ac:dyDescent="0.25">
      <c r="A10222" t="str">
        <f>T("   110311")</f>
        <v xml:space="preserve">   110311</v>
      </c>
      <c r="B10222" t="str">
        <f>T("   Gruaux et semoules de froment [blé]")</f>
        <v xml:space="preserve">   Gruaux et semoules de froment [blé]</v>
      </c>
      <c r="C10222">
        <v>315895543</v>
      </c>
      <c r="D10222">
        <v>1016600</v>
      </c>
    </row>
    <row r="10223" spans="1:4" x14ac:dyDescent="0.25">
      <c r="A10223" t="str">
        <f>T("   151710")</f>
        <v xml:space="preserve">   151710</v>
      </c>
      <c r="B10223" t="str">
        <f>T("   Margarine (à l'excl. de la margarine liquide)")</f>
        <v xml:space="preserve">   Margarine (à l'excl. de la margarine liquide)</v>
      </c>
      <c r="C10223">
        <v>80417338</v>
      </c>
      <c r="D10223">
        <v>199605</v>
      </c>
    </row>
    <row r="10224" spans="1:4" x14ac:dyDescent="0.25">
      <c r="A10224" t="str">
        <f>T("   190219")</f>
        <v xml:space="preserve">   190219</v>
      </c>
      <c r="B10224" t="str">
        <f>T("   PÂTES ALIMENTAIRES NON-CUITES NI FARCIES NI AUTREMENT PRÉPARÉES, NE CONTENANT PAS D'OEUFS")</f>
        <v xml:space="preserve">   PÂTES ALIMENTAIRES NON-CUITES NI FARCIES NI AUTREMENT PRÉPARÉES, NE CONTENANT PAS D'OEUFS</v>
      </c>
      <c r="C10224">
        <v>16350000</v>
      </c>
      <c r="D10224">
        <v>160680</v>
      </c>
    </row>
    <row r="10225" spans="1:4" x14ac:dyDescent="0.25">
      <c r="A10225" t="str">
        <f>T("   190230")</f>
        <v xml:space="preserve">   190230</v>
      </c>
      <c r="B10225" t="str">
        <f>T("   Pâtes alimentaires, cuites ou autrement préparées (à l'excl. des pâtes alimentaires farcies)")</f>
        <v xml:space="preserve">   Pâtes alimentaires, cuites ou autrement préparées (à l'excl. des pâtes alimentaires farcies)</v>
      </c>
      <c r="C10225">
        <v>56015720</v>
      </c>
      <c r="D10225">
        <v>269716</v>
      </c>
    </row>
    <row r="10226" spans="1:4" x14ac:dyDescent="0.25">
      <c r="A10226" t="str">
        <f>T("   190240")</f>
        <v xml:space="preserve">   190240</v>
      </c>
      <c r="B10226" t="str">
        <f>T("   Couscous, même préparé")</f>
        <v xml:space="preserve">   Couscous, même préparé</v>
      </c>
      <c r="C10226">
        <v>27722181</v>
      </c>
      <c r="D10226">
        <v>111928</v>
      </c>
    </row>
    <row r="10227" spans="1:4" x14ac:dyDescent="0.25">
      <c r="A10227" t="str">
        <f>T("   190531")</f>
        <v xml:space="preserve">   190531</v>
      </c>
      <c r="B10227" t="str">
        <f>T("   Biscuits additionnés d'édulcorants")</f>
        <v xml:space="preserve">   Biscuits additionnés d'édulcorants</v>
      </c>
      <c r="C10227">
        <v>5391991</v>
      </c>
      <c r="D10227">
        <v>22612</v>
      </c>
    </row>
    <row r="10228" spans="1:4" x14ac:dyDescent="0.25">
      <c r="A10228" t="str">
        <f>T("   190590")</f>
        <v xml:space="preserve">   190590</v>
      </c>
      <c r="B10228" t="s">
        <v>50</v>
      </c>
      <c r="C10228">
        <v>5391437</v>
      </c>
      <c r="D10228">
        <v>22200</v>
      </c>
    </row>
    <row r="10229" spans="1:4" x14ac:dyDescent="0.25">
      <c r="A10229" t="str">
        <f>T("   220210")</f>
        <v xml:space="preserve">   220210</v>
      </c>
      <c r="B10229" t="str">
        <f>T("   Eaux, y.c. les eaux minérales et les eaux gazéifiées, additionnées de sucre ou d'autres édulcorants ou aromatisées, directement consommables en l'état en tant que boissons")</f>
        <v xml:space="preserve">   Eaux, y.c. les eaux minérales et les eaux gazéifiées, additionnées de sucre ou d'autres édulcorants ou aromatisées, directement consommables en l'état en tant que boissons</v>
      </c>
      <c r="C10229">
        <v>4108277</v>
      </c>
      <c r="D10229">
        <v>14052</v>
      </c>
    </row>
    <row r="10230" spans="1:4" x14ac:dyDescent="0.25">
      <c r="A10230" t="str">
        <f>T("   250100")</f>
        <v xml:space="preserve">   250100</v>
      </c>
      <c r="B10230" t="s">
        <v>60</v>
      </c>
      <c r="C10230">
        <v>55645649</v>
      </c>
      <c r="D10230">
        <v>1121840</v>
      </c>
    </row>
    <row r="10231" spans="1:4" x14ac:dyDescent="0.25">
      <c r="A10231" t="str">
        <f>T("   250900")</f>
        <v xml:space="preserve">   250900</v>
      </c>
      <c r="B10231" t="str">
        <f>T("   Craie")</f>
        <v xml:space="preserve">   Craie</v>
      </c>
      <c r="C10231">
        <v>49907198</v>
      </c>
      <c r="D10231">
        <v>910320</v>
      </c>
    </row>
    <row r="10232" spans="1:4" x14ac:dyDescent="0.25">
      <c r="A10232" t="str">
        <f>T("   252020")</f>
        <v xml:space="preserve">   252020</v>
      </c>
      <c r="B10232" t="str">
        <f>T("   Plâtres, même colorés ou additionnés de faibles quantités d'accélérateurs ou de retardateurs")</f>
        <v xml:space="preserve">   Plâtres, même colorés ou additionnés de faibles quantités d'accélérateurs ou de retardateurs</v>
      </c>
      <c r="C10232">
        <v>55365691</v>
      </c>
      <c r="D10232">
        <v>858750</v>
      </c>
    </row>
    <row r="10233" spans="1:4" x14ac:dyDescent="0.25">
      <c r="A10233" t="str">
        <f>T("   252321")</f>
        <v xml:space="preserve">   252321</v>
      </c>
      <c r="B10233" t="str">
        <f>T("   Ciments Portland blancs, même colorés artificiellement")</f>
        <v xml:space="preserve">   Ciments Portland blancs, même colorés artificiellement</v>
      </c>
      <c r="C10233">
        <v>33786054</v>
      </c>
      <c r="D10233">
        <v>504000</v>
      </c>
    </row>
    <row r="10234" spans="1:4" x14ac:dyDescent="0.25">
      <c r="A10234" t="str">
        <f>T("   252329")</f>
        <v xml:space="preserve">   252329</v>
      </c>
      <c r="B10234" t="str">
        <f>T("   Ciment Portland normal ou modéré (à l'excl. des ciments Portland blancs, même colorés artificiellement)")</f>
        <v xml:space="preserve">   Ciment Portland normal ou modéré (à l'excl. des ciments Portland blancs, même colorés artificiellement)</v>
      </c>
      <c r="C10234">
        <v>4972833</v>
      </c>
      <c r="D10234">
        <v>51600</v>
      </c>
    </row>
    <row r="10235" spans="1:4" x14ac:dyDescent="0.25">
      <c r="A10235" t="str">
        <f>T("   271019")</f>
        <v xml:space="preserve">   271019</v>
      </c>
      <c r="B10235" t="str">
        <f>T("   Huiles moyennes et préparations, de pétrole ou de minéraux bitumineux, n.d.a.")</f>
        <v xml:space="preserve">   Huiles moyennes et préparations, de pétrole ou de minéraux bitumineux, n.d.a.</v>
      </c>
      <c r="C10235">
        <v>8840000</v>
      </c>
      <c r="D10235">
        <v>13992</v>
      </c>
    </row>
    <row r="10236" spans="1:4" x14ac:dyDescent="0.25">
      <c r="A10236" t="str">
        <f>T("   281420")</f>
        <v xml:space="preserve">   281420</v>
      </c>
      <c r="B10236" t="str">
        <f>T("   Ammoniac en solution aqueuse [ammoniaque]")</f>
        <v xml:space="preserve">   Ammoniac en solution aqueuse [ammoniaque]</v>
      </c>
      <c r="C10236">
        <v>266582</v>
      </c>
      <c r="D10236">
        <v>965</v>
      </c>
    </row>
    <row r="10237" spans="1:4" x14ac:dyDescent="0.25">
      <c r="A10237" t="str">
        <f>T("   282300")</f>
        <v xml:space="preserve">   282300</v>
      </c>
      <c r="B10237" t="str">
        <f>T("   Oxydes de titane")</f>
        <v xml:space="preserve">   Oxydes de titane</v>
      </c>
      <c r="C10237">
        <v>14815454</v>
      </c>
      <c r="D10237">
        <v>6088</v>
      </c>
    </row>
    <row r="10238" spans="1:4" x14ac:dyDescent="0.25">
      <c r="A10238" t="str">
        <f>T("   283322")</f>
        <v xml:space="preserve">   283322</v>
      </c>
      <c r="B10238" t="str">
        <f>T("   SULFATE D'ALUMINIUM")</f>
        <v xml:space="preserve">   SULFATE D'ALUMINIUM</v>
      </c>
      <c r="C10238">
        <v>46179583</v>
      </c>
      <c r="D10238">
        <v>301200</v>
      </c>
    </row>
    <row r="10239" spans="1:4" x14ac:dyDescent="0.25">
      <c r="A10239" t="str">
        <f>T("   283529")</f>
        <v xml:space="preserve">   283529</v>
      </c>
      <c r="B10239" t="str">
        <f>T("   PHOSPHATES (À L'EXCL. DES PHOSPHATES DE MONOSODIUM, DE DISODIUM, DE POTASSIUM, DE CALCIUM ET DU MERCURE)")</f>
        <v xml:space="preserve">   PHOSPHATES (À L'EXCL. DES PHOSPHATES DE MONOSODIUM, DE DISODIUM, DE POTASSIUM, DE CALCIUM ET DU MERCURE)</v>
      </c>
      <c r="C10239">
        <v>2035680</v>
      </c>
      <c r="D10239">
        <v>2304</v>
      </c>
    </row>
    <row r="10240" spans="1:4" x14ac:dyDescent="0.25">
      <c r="A10240" t="str">
        <f>T("   283539")</f>
        <v xml:space="preserve">   283539</v>
      </c>
      <c r="B10240" t="str">
        <f>T("   Polyphosphates, de constitution chimique définie ou non (à l'excl. du triphosphate de sodium [tripolyphosphate de sodium])")</f>
        <v xml:space="preserve">   Polyphosphates, de constitution chimique définie ou non (à l'excl. du triphosphate de sodium [tripolyphosphate de sodium])</v>
      </c>
      <c r="C10240">
        <v>1156202</v>
      </c>
      <c r="D10240">
        <v>1004</v>
      </c>
    </row>
    <row r="10241" spans="1:4" x14ac:dyDescent="0.25">
      <c r="A10241" t="str">
        <f>T("   283650")</f>
        <v xml:space="preserve">   283650</v>
      </c>
      <c r="B10241" t="str">
        <f>T("   Carbonate de calcium")</f>
        <v xml:space="preserve">   Carbonate de calcium</v>
      </c>
      <c r="C10241">
        <v>42174018</v>
      </c>
      <c r="D10241">
        <v>590205</v>
      </c>
    </row>
    <row r="10242" spans="1:4" x14ac:dyDescent="0.25">
      <c r="A10242" t="str">
        <f>T("   290532")</f>
        <v xml:space="preserve">   290532</v>
      </c>
      <c r="B10242" t="str">
        <f>T("   Propylène glycol [propane-1,2-diol]")</f>
        <v xml:space="preserve">   Propylène glycol [propane-1,2-diol]</v>
      </c>
      <c r="C10242">
        <v>2310619</v>
      </c>
      <c r="D10242">
        <v>1752</v>
      </c>
    </row>
    <row r="10243" spans="1:4" x14ac:dyDescent="0.25">
      <c r="A10243" t="str">
        <f>T("   294000")</f>
        <v xml:space="preserve">   294000</v>
      </c>
      <c r="B10243" t="s">
        <v>72</v>
      </c>
      <c r="C10243">
        <v>3068581</v>
      </c>
      <c r="D10243">
        <v>144</v>
      </c>
    </row>
    <row r="10244" spans="1:4" x14ac:dyDescent="0.25">
      <c r="A10244" t="str">
        <f>T("   320419")</f>
        <v xml:space="preserve">   320419</v>
      </c>
      <c r="B10244" t="s">
        <v>91</v>
      </c>
      <c r="C10244">
        <v>5072834</v>
      </c>
      <c r="D10244">
        <v>16620</v>
      </c>
    </row>
    <row r="10245" spans="1:4" x14ac:dyDescent="0.25">
      <c r="A10245" t="str">
        <f>T("   320910")</f>
        <v xml:space="preserve">   320910</v>
      </c>
      <c r="B10245" t="str">
        <f>T("   Peintures et vernis à base de polymères acryliques ou vinyliques, dispersés ou dissous dans un milieu aqueux")</f>
        <v xml:space="preserve">   Peintures et vernis à base de polymères acryliques ou vinyliques, dispersés ou dissous dans un milieu aqueux</v>
      </c>
      <c r="C10245">
        <v>26533437</v>
      </c>
      <c r="D10245">
        <v>39600</v>
      </c>
    </row>
    <row r="10246" spans="1:4" x14ac:dyDescent="0.25">
      <c r="A10246" t="str">
        <f>T("   321490")</f>
        <v xml:space="preserve">   321490</v>
      </c>
      <c r="B10246" t="str">
        <f>T("   Enduits non réfractaires des types utilisés en maçonnerie")</f>
        <v xml:space="preserve">   Enduits non réfractaires des types utilisés en maçonnerie</v>
      </c>
      <c r="C10246">
        <v>14610197</v>
      </c>
      <c r="D10246">
        <v>23166</v>
      </c>
    </row>
    <row r="10247" spans="1:4" x14ac:dyDescent="0.25">
      <c r="A10247" t="str">
        <f>T("   350610")</f>
        <v xml:space="preserve">   350610</v>
      </c>
      <c r="B10247" t="str">
        <f>T("   Produits de toute espèce à usage de colles ou d'adhésifs, conditionnés pour la vente au détail comme colles ou adhésifs, d'un poids net &lt;= 1 kg")</f>
        <v xml:space="preserve">   Produits de toute espèce à usage de colles ou d'adhésifs, conditionnés pour la vente au détail comme colles ou adhésifs, d'un poids net &lt;= 1 kg</v>
      </c>
      <c r="C10247">
        <v>33949866</v>
      </c>
      <c r="D10247">
        <v>10822</v>
      </c>
    </row>
    <row r="10248" spans="1:4" x14ac:dyDescent="0.25">
      <c r="A10248" t="str">
        <f>T("   350699")</f>
        <v xml:space="preserve">   350699</v>
      </c>
      <c r="B10248" t="str">
        <f>T("   Colles et autres adhésifs préparés, n.d.a.")</f>
        <v xml:space="preserve">   Colles et autres adhésifs préparés, n.d.a.</v>
      </c>
      <c r="C10248">
        <v>8182038</v>
      </c>
      <c r="D10248">
        <v>5813</v>
      </c>
    </row>
    <row r="10249" spans="1:4" x14ac:dyDescent="0.25">
      <c r="A10249" t="str">
        <f>T("   382440")</f>
        <v xml:space="preserve">   382440</v>
      </c>
      <c r="B10249" t="str">
        <f>T("   Additifs préparés pour ciments, mortiers ou bétons")</f>
        <v xml:space="preserve">   Additifs préparés pour ciments, mortiers ou bétons</v>
      </c>
      <c r="C10249">
        <v>49753910</v>
      </c>
      <c r="D10249">
        <v>68848</v>
      </c>
    </row>
    <row r="10250" spans="1:4" x14ac:dyDescent="0.25">
      <c r="A10250" t="str">
        <f>T("   382479")</f>
        <v xml:space="preserve">   382479</v>
      </c>
      <c r="B10250" t="str">
        <f>T("   Mélanges contenant des dérivés perhalogènes des hydrocarbures acycliques comportant au moins deux halogènes différents (sauf uniquement avec du fluor et du chlore)")</f>
        <v xml:space="preserve">   Mélanges contenant des dérivés perhalogènes des hydrocarbures acycliques comportant au moins deux halogènes différents (sauf uniquement avec du fluor et du chlore)</v>
      </c>
      <c r="C10250">
        <v>1629811</v>
      </c>
      <c r="D10250">
        <v>1812</v>
      </c>
    </row>
    <row r="10251" spans="1:4" x14ac:dyDescent="0.25">
      <c r="A10251" t="str">
        <f>T("   390230")</f>
        <v xml:space="preserve">   390230</v>
      </c>
      <c r="B10251" t="str">
        <f>T("   Copolymères de propylène, sous formes primaires")</f>
        <v xml:space="preserve">   Copolymères de propylène, sous formes primaires</v>
      </c>
      <c r="C10251">
        <v>25288505</v>
      </c>
      <c r="D10251">
        <v>25470</v>
      </c>
    </row>
    <row r="10252" spans="1:4" x14ac:dyDescent="0.25">
      <c r="A10252" t="str">
        <f>T("   390390")</f>
        <v xml:space="preserve">   390390</v>
      </c>
      <c r="B10252" t="str">
        <f>T("   Polymères du styrène, sous formes primaires (à l'excl. du polystyrène ainsi que des copolymères de styrène-acrylonitrile [SAN] ou d'acrylonitrile-butadiène-styrène [ABS])")</f>
        <v xml:space="preserve">   Polymères du styrène, sous formes primaires (à l'excl. du polystyrène ainsi que des copolymères de styrène-acrylonitrile [SAN] ou d'acrylonitrile-butadiène-styrène [ABS])</v>
      </c>
      <c r="C10252">
        <v>21192100</v>
      </c>
      <c r="D10252">
        <v>25600</v>
      </c>
    </row>
    <row r="10253" spans="1:4" x14ac:dyDescent="0.25">
      <c r="A10253" t="str">
        <f>T("   390519")</f>
        <v xml:space="preserve">   390519</v>
      </c>
      <c r="B10253" t="str">
        <f>T("   Poly[acétate de vinyle], sous formes primaires (à l'excl. des produits en dispersion aqueuse)")</f>
        <v xml:space="preserve">   Poly[acétate de vinyle], sous formes primaires (à l'excl. des produits en dispersion aqueuse)</v>
      </c>
      <c r="C10253">
        <v>3788825</v>
      </c>
      <c r="D10253">
        <v>6400</v>
      </c>
    </row>
    <row r="10254" spans="1:4" x14ac:dyDescent="0.25">
      <c r="A10254" t="str">
        <f>T("   390529")</f>
        <v xml:space="preserve">   390529</v>
      </c>
      <c r="B10254" t="str">
        <f>T("   Copolymères d'acétate de vinyle, sous formes primaires (à l'excl. des produits en dispersion aqueuse)")</f>
        <v xml:space="preserve">   Copolymères d'acétate de vinyle, sous formes primaires (à l'excl. des produits en dispersion aqueuse)</v>
      </c>
      <c r="C10254">
        <v>3838678</v>
      </c>
      <c r="D10254">
        <v>6400</v>
      </c>
    </row>
    <row r="10255" spans="1:4" x14ac:dyDescent="0.25">
      <c r="A10255" t="str">
        <f>T("   390750")</f>
        <v xml:space="preserve">   390750</v>
      </c>
      <c r="B10255" t="str">
        <f>T("   Résines alkydes, sous formes primaires")</f>
        <v xml:space="preserve">   Résines alkydes, sous formes primaires</v>
      </c>
      <c r="C10255">
        <v>57031576</v>
      </c>
      <c r="D10255">
        <v>72711</v>
      </c>
    </row>
    <row r="10256" spans="1:4" x14ac:dyDescent="0.25">
      <c r="A10256" t="str">
        <f>T("   390799")</f>
        <v xml:space="preserve">   390799</v>
      </c>
      <c r="B10256" t="str">
        <f>T("   POLYESTERS, SATURÉS, SOUS FORMES PRIMAIRES (À L'EXCL. DES POLYCARBONATES, DES RÉSINES ALKYDES ET DU POLY[ÉTHYLÈNE TÉRÉPHTALATE]) [01/01/1988-31/12/1993: POLYESTERS ALLYLIQUES ET AUTRES POLYESTERS, SATURÉS, SOUS FORMES PRIMAIRES]")</f>
        <v xml:space="preserve">   POLYESTERS, SATURÉS, SOUS FORMES PRIMAIRES (À L'EXCL. DES POLYCARBONATES, DES RÉSINES ALKYDES ET DU POLY[ÉTHYLÈNE TÉRÉPHTALATE]) [01/01/1988-31/12/1993: POLYESTERS ALLYLIQUES ET AUTRES POLYESTERS, SATURÉS, SOUS FORMES PRIMAIRES]</v>
      </c>
      <c r="C10256">
        <v>1218774</v>
      </c>
      <c r="D10256">
        <v>890</v>
      </c>
    </row>
    <row r="10257" spans="1:4" x14ac:dyDescent="0.25">
      <c r="A10257" t="str">
        <f>T("   392490")</f>
        <v xml:space="preserve">   392490</v>
      </c>
      <c r="B10257" t="s">
        <v>145</v>
      </c>
      <c r="C10257">
        <v>8860708</v>
      </c>
      <c r="D10257">
        <v>5801</v>
      </c>
    </row>
    <row r="10258" spans="1:4" x14ac:dyDescent="0.25">
      <c r="A10258" t="str">
        <f>T("   401220")</f>
        <v xml:space="preserve">   401220</v>
      </c>
      <c r="B10258" t="str">
        <f>T("   Pneumatiques usagés, en caoutchouc")</f>
        <v xml:space="preserve">   Pneumatiques usagés, en caoutchouc</v>
      </c>
      <c r="C10258">
        <v>7440000</v>
      </c>
      <c r="D10258">
        <v>10000</v>
      </c>
    </row>
    <row r="10259" spans="1:4" x14ac:dyDescent="0.25">
      <c r="A10259" t="str">
        <f>T("   442190")</f>
        <v xml:space="preserve">   442190</v>
      </c>
      <c r="B10259" t="str">
        <f>T("   Ouvrages, en bois, n.d.a.")</f>
        <v xml:space="preserve">   Ouvrages, en bois, n.d.a.</v>
      </c>
      <c r="C10259">
        <v>1002800</v>
      </c>
      <c r="D10259">
        <v>1447</v>
      </c>
    </row>
    <row r="10260" spans="1:4" x14ac:dyDescent="0.25">
      <c r="A10260" t="str">
        <f>T("   481840")</f>
        <v xml:space="preserve">   481840</v>
      </c>
      <c r="B10260" t="str">
        <f>T("   Serviettes et tampons hygiéniques, couches pour bébés et articles hygiéniques simil., en pâte à papier, papier, ouate de cellulose ou nappes de fibres de cellulose")</f>
        <v xml:space="preserve">   Serviettes et tampons hygiéniques, couches pour bébés et articles hygiéniques simil., en pâte à papier, papier, ouate de cellulose ou nappes de fibres de cellulose</v>
      </c>
      <c r="C10260">
        <v>86594923</v>
      </c>
      <c r="D10260">
        <v>131848.25</v>
      </c>
    </row>
    <row r="10261" spans="1:4" x14ac:dyDescent="0.25">
      <c r="A10261" t="str">
        <f>T("   482010")</f>
        <v xml:space="preserve">   482010</v>
      </c>
      <c r="B10261" t="str">
        <f>T("   Registres, livres comptables, carnets de notes, de commandes ou de quittances, blocs-mémorandums, blocs de papier à lettres, agendas et ouvrages simil., en papier ou carton")</f>
        <v xml:space="preserve">   Registres, livres comptables, carnets de notes, de commandes ou de quittances, blocs-mémorandums, blocs de papier à lettres, agendas et ouvrages simil., en papier ou carton</v>
      </c>
      <c r="C10261">
        <v>8286087</v>
      </c>
      <c r="D10261">
        <v>22504</v>
      </c>
    </row>
    <row r="10262" spans="1:4" x14ac:dyDescent="0.25">
      <c r="A10262" t="str">
        <f>T("   482110")</f>
        <v xml:space="preserve">   482110</v>
      </c>
      <c r="B10262" t="str">
        <f>T("   ÉTIQUETTES DE TOUS GENRES, EN PAPIER OU EN CARTON, IMPRIMÉES")</f>
        <v xml:space="preserve">   ÉTIQUETTES DE TOUS GENRES, EN PAPIER OU EN CARTON, IMPRIMÉES</v>
      </c>
      <c r="C10262">
        <v>6522761</v>
      </c>
      <c r="D10262">
        <v>15799</v>
      </c>
    </row>
    <row r="10263" spans="1:4" x14ac:dyDescent="0.25">
      <c r="A10263" t="str">
        <f>T("   490110")</f>
        <v xml:space="preserve">   490110</v>
      </c>
      <c r="B10263" t="str">
        <f>T("   Livres, brochures et imprimés simil., en feuillets isolés, même pliés (à l'excl. des publications périodiques et des publications à usages principalement publicitaires)")</f>
        <v xml:space="preserve">   Livres, brochures et imprimés simil., en feuillets isolés, même pliés (à l'excl. des publications périodiques et des publications à usages principalement publicitaires)</v>
      </c>
      <c r="C10263">
        <v>1202375</v>
      </c>
      <c r="D10263">
        <v>294</v>
      </c>
    </row>
    <row r="10264" spans="1:4" x14ac:dyDescent="0.25">
      <c r="A10264" t="str">
        <f>T("   490290")</f>
        <v xml:space="preserve">   490290</v>
      </c>
      <c r="B10264" t="str">
        <f>T("   Journaux et publications périodiques imprimés, même illustrés ou contenant de la publicité (à l'excl. des journaux et publications paraissant au moins quatre fois par semaine)")</f>
        <v xml:space="preserve">   Journaux et publications périodiques imprimés, même illustrés ou contenant de la publicité (à l'excl. des journaux et publications paraissant au moins quatre fois par semaine)</v>
      </c>
      <c r="C10264">
        <v>3395990</v>
      </c>
      <c r="D10264">
        <v>1622</v>
      </c>
    </row>
    <row r="10265" spans="1:4" x14ac:dyDescent="0.25">
      <c r="A10265" t="str">
        <f>T("   491110")</f>
        <v xml:space="preserve">   491110</v>
      </c>
      <c r="B10265" t="str">
        <f>T("   Imprimés publicitaires, catalogues commerciaux et simil.")</f>
        <v xml:space="preserve">   Imprimés publicitaires, catalogues commerciaux et simil.</v>
      </c>
      <c r="C10265">
        <v>422065</v>
      </c>
      <c r="D10265">
        <v>392</v>
      </c>
    </row>
    <row r="10266" spans="1:4" x14ac:dyDescent="0.25">
      <c r="A10266" t="str">
        <f>T("   560110")</f>
        <v xml:space="preserve">   560110</v>
      </c>
      <c r="B10266" t="str">
        <f>T("   Serviettes et tampons hygiéniques, couches pour bébés et articles hygiéniques simil., en ouates")</f>
        <v xml:space="preserve">   Serviettes et tampons hygiéniques, couches pour bébés et articles hygiéniques simil., en ouates</v>
      </c>
      <c r="C10266">
        <v>7635000</v>
      </c>
      <c r="D10266">
        <v>9243</v>
      </c>
    </row>
    <row r="10267" spans="1:4" x14ac:dyDescent="0.25">
      <c r="A10267" t="str">
        <f>T("   650590")</f>
        <v xml:space="preserve">   650590</v>
      </c>
      <c r="B10267" t="s">
        <v>291</v>
      </c>
      <c r="C10267">
        <v>3280</v>
      </c>
      <c r="D10267">
        <v>10</v>
      </c>
    </row>
    <row r="10268" spans="1:4" x14ac:dyDescent="0.25">
      <c r="A10268" t="str">
        <f>T("   690890")</f>
        <v xml:space="preserve">   690890</v>
      </c>
      <c r="B10268" t="s">
        <v>311</v>
      </c>
      <c r="C10268">
        <v>13981787</v>
      </c>
      <c r="D10268">
        <v>159560</v>
      </c>
    </row>
    <row r="10269" spans="1:4" x14ac:dyDescent="0.25">
      <c r="A10269" t="str">
        <f>T("   691090")</f>
        <v xml:space="preserve">   691090</v>
      </c>
      <c r="B10269" t="s">
        <v>313</v>
      </c>
      <c r="C10269">
        <v>18102371</v>
      </c>
      <c r="D10269">
        <v>36352</v>
      </c>
    </row>
    <row r="10270" spans="1:4" x14ac:dyDescent="0.25">
      <c r="A10270" t="str">
        <f>T("   691490")</f>
        <v xml:space="preserve">   691490</v>
      </c>
      <c r="B10270" t="str">
        <f>T("   Ouvrages en céramique autres que la porcelaine n.d.a.")</f>
        <v xml:space="preserve">   Ouvrages en céramique autres que la porcelaine n.d.a.</v>
      </c>
      <c r="C10270">
        <v>1002800</v>
      </c>
      <c r="D10270">
        <v>900</v>
      </c>
    </row>
    <row r="10271" spans="1:4" x14ac:dyDescent="0.25">
      <c r="A10271" t="str">
        <f>T("   700521")</f>
        <v xml:space="preserve">   700521</v>
      </c>
      <c r="B10271" t="s">
        <v>317</v>
      </c>
      <c r="C10271">
        <v>1175480</v>
      </c>
      <c r="D10271">
        <v>10304</v>
      </c>
    </row>
    <row r="10272" spans="1:4" x14ac:dyDescent="0.25">
      <c r="A10272" t="str">
        <f>T("   700529")</f>
        <v xml:space="preserve">   700529</v>
      </c>
      <c r="B10272" t="s">
        <v>318</v>
      </c>
      <c r="C10272">
        <v>2757000</v>
      </c>
      <c r="D10272">
        <v>12500</v>
      </c>
    </row>
    <row r="10273" spans="1:4" x14ac:dyDescent="0.25">
      <c r="A10273" t="str">
        <f>T("   721590")</f>
        <v xml:space="preserve">   721590</v>
      </c>
      <c r="B10273" t="str">
        <f>T("   Barres en fer ou en aciers non alliés, obtenues ou parachevées à froid et ayant subi certaines ouvraisons plus poussées ou obtenues à chaud et ayant subi certaines ouvraisons plus poussées, n.d.a.")</f>
        <v xml:space="preserve">   Barres en fer ou en aciers non alliés, obtenues ou parachevées à froid et ayant subi certaines ouvraisons plus poussées ou obtenues à chaud et ayant subi certaines ouvraisons plus poussées, n.d.a.</v>
      </c>
      <c r="C10273">
        <v>200000</v>
      </c>
      <c r="D10273">
        <v>58</v>
      </c>
    </row>
    <row r="10274" spans="1:4" x14ac:dyDescent="0.25">
      <c r="A10274" t="str">
        <f>T("   731029")</f>
        <v xml:space="preserve">   731029</v>
      </c>
      <c r="B10274" t="str">
        <f>T("   Réservoirs, fûts, tambours, bidons et récipients simil., en fer ou en acier, pour toutes matières, contenance &lt; 50 l, n.d.a. (sauf pour gaz comprimés ou liquéfiés, sans dispositifs mécaniques ou thermiques et à l'excl. des boîtes)")</f>
        <v xml:space="preserve">   Réservoirs, fûts, tambours, bidons et récipients simil., en fer ou en acier, pour toutes matières, contenance &lt; 50 l, n.d.a. (sauf pour gaz comprimés ou liquéfiés, sans dispositifs mécaniques ou thermiques et à l'excl. des boîtes)</v>
      </c>
      <c r="C10274">
        <v>10809565</v>
      </c>
      <c r="D10274">
        <v>6242</v>
      </c>
    </row>
    <row r="10275" spans="1:4" x14ac:dyDescent="0.25">
      <c r="A10275" t="str">
        <f>T("   761010")</f>
        <v xml:space="preserve">   761010</v>
      </c>
      <c r="B10275" t="str">
        <f>T("   Portes, fenêtres et leurs cadres, chambranles et seuils, en aluminium (sauf pièces de garnissage)")</f>
        <v xml:space="preserve">   Portes, fenêtres et leurs cadres, chambranles et seuils, en aluminium (sauf pièces de garnissage)</v>
      </c>
      <c r="C10275">
        <v>1002800</v>
      </c>
      <c r="D10275">
        <v>2100</v>
      </c>
    </row>
    <row r="10276" spans="1:4" x14ac:dyDescent="0.25">
      <c r="A10276" t="str">
        <f>T("   820130")</f>
        <v xml:space="preserve">   820130</v>
      </c>
      <c r="B10276" t="str">
        <f>T("   Pioches, pics, houes, binettes, râteaux et racloirs, avec partie travaillante en métaux communs (sauf piolets)")</f>
        <v xml:space="preserve">   Pioches, pics, houes, binettes, râteaux et racloirs, avec partie travaillante en métaux communs (sauf piolets)</v>
      </c>
      <c r="C10276">
        <v>2318163</v>
      </c>
      <c r="D10276">
        <v>2320</v>
      </c>
    </row>
    <row r="10277" spans="1:4" x14ac:dyDescent="0.25">
      <c r="A10277" t="str">
        <f>T("   830210")</f>
        <v xml:space="preserve">   830210</v>
      </c>
      <c r="B10277" t="str">
        <f>T("   Charnières de tous genres, y.c. les paumelles et pentures, en métaux communs")</f>
        <v xml:space="preserve">   Charnières de tous genres, y.c. les paumelles et pentures, en métaux communs</v>
      </c>
      <c r="C10277">
        <v>5432004</v>
      </c>
      <c r="D10277">
        <v>16453</v>
      </c>
    </row>
    <row r="10278" spans="1:4" x14ac:dyDescent="0.25">
      <c r="A10278" t="str">
        <f>T("   830249")</f>
        <v xml:space="preserve">   830249</v>
      </c>
      <c r="B10278" t="s">
        <v>375</v>
      </c>
      <c r="C10278">
        <v>97738</v>
      </c>
      <c r="D10278">
        <v>390</v>
      </c>
    </row>
    <row r="10279" spans="1:4" x14ac:dyDescent="0.25">
      <c r="A10279" t="str">
        <f>T("   841510")</f>
        <v xml:space="preserve">   841510</v>
      </c>
      <c r="B10279" t="s">
        <v>395</v>
      </c>
      <c r="C10279">
        <v>23569026</v>
      </c>
      <c r="D10279">
        <v>29042</v>
      </c>
    </row>
    <row r="10280" spans="1:4" x14ac:dyDescent="0.25">
      <c r="A10280" t="str">
        <f>T("   841830")</f>
        <v xml:space="preserve">   841830</v>
      </c>
      <c r="B10280" t="str">
        <f>T("   Meubles congélateurs-conservateurs du type coffre, capacité &lt;= 800 l")</f>
        <v xml:space="preserve">   Meubles congélateurs-conservateurs du type coffre, capacité &lt;= 800 l</v>
      </c>
      <c r="C10280">
        <v>15292200</v>
      </c>
      <c r="D10280">
        <v>9420</v>
      </c>
    </row>
    <row r="10281" spans="1:4" x14ac:dyDescent="0.25">
      <c r="A10281" t="str">
        <f>T("   850710")</f>
        <v xml:space="preserve">   850710</v>
      </c>
      <c r="B10281" t="str">
        <f>T("   Accumulateurs au plomb, pour le démarrage des moteurs à piston (sauf hors d'usage)")</f>
        <v xml:space="preserve">   Accumulateurs au plomb, pour le démarrage des moteurs à piston (sauf hors d'usage)</v>
      </c>
      <c r="C10281">
        <v>6302000</v>
      </c>
      <c r="D10281">
        <v>20252</v>
      </c>
    </row>
    <row r="10282" spans="1:4" x14ac:dyDescent="0.25">
      <c r="A10282" t="str">
        <f>T("   850720")</f>
        <v xml:space="preserve">   850720</v>
      </c>
      <c r="B10282" t="str">
        <f>T("   Accumulateurs au plomb (sauf hors d'usage et autres que pour le démarrage des moteurs à piston)")</f>
        <v xml:space="preserve">   Accumulateurs au plomb (sauf hors d'usage et autres que pour le démarrage des moteurs à piston)</v>
      </c>
      <c r="C10282">
        <v>14970000</v>
      </c>
      <c r="D10282">
        <v>52152</v>
      </c>
    </row>
    <row r="10283" spans="1:4" x14ac:dyDescent="0.25">
      <c r="A10283" t="str">
        <f>T("   850780")</f>
        <v xml:space="preserve">   850780</v>
      </c>
      <c r="B10283" t="str">
        <f>T("   Accumulateurs électriques (sauf hors d'usage et autres qu'au plomb, au nickel-cadmium ou au nickel-fer)")</f>
        <v xml:space="preserve">   Accumulateurs électriques (sauf hors d'usage et autres qu'au plomb, au nickel-cadmium ou au nickel-fer)</v>
      </c>
      <c r="C10283">
        <v>6300000</v>
      </c>
      <c r="D10283">
        <v>20002</v>
      </c>
    </row>
    <row r="10284" spans="1:4" x14ac:dyDescent="0.25">
      <c r="A10284" t="str">
        <f>T("   852812")</f>
        <v xml:space="preserve">   852812</v>
      </c>
      <c r="B10284"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10284">
        <v>71500</v>
      </c>
      <c r="D10284">
        <v>16</v>
      </c>
    </row>
    <row r="10285" spans="1:4" x14ac:dyDescent="0.25">
      <c r="A10285" t="str">
        <f>T("   853939")</f>
        <v xml:space="preserve">   853939</v>
      </c>
      <c r="B10285" t="str">
        <f>T("   Lampes et tubes à décharge (autres que fluorescents, à cathode chaude, à vapeur de mercure ou de sodium, à halogénure métallique et qu'à rayons ultraviolets)")</f>
        <v xml:space="preserve">   Lampes et tubes à décharge (autres que fluorescents, à cathode chaude, à vapeur de mercure ou de sodium, à halogénure métallique et qu'à rayons ultraviolets)</v>
      </c>
      <c r="C10285">
        <v>10768895</v>
      </c>
      <c r="D10285">
        <v>10416</v>
      </c>
    </row>
    <row r="10286" spans="1:4" x14ac:dyDescent="0.25">
      <c r="A10286" t="str">
        <f>T("   854420")</f>
        <v xml:space="preserve">   854420</v>
      </c>
      <c r="B10286" t="str">
        <f>T("   Câbles coaxiaux et autres conducteurs électriques coaxiaux, isolés")</f>
        <v xml:space="preserve">   Câbles coaxiaux et autres conducteurs électriques coaxiaux, isolés</v>
      </c>
      <c r="C10286">
        <v>18320963</v>
      </c>
      <c r="D10286">
        <v>27974</v>
      </c>
    </row>
    <row r="10287" spans="1:4" x14ac:dyDescent="0.25">
      <c r="A10287" t="str">
        <f>T("   854449")</f>
        <v xml:space="preserve">   854449</v>
      </c>
      <c r="B10287" t="str">
        <f>T("   CONDUCTEURS ÉLECTRIQUES, POUR TENSION &lt;= 1.000 V, ISOLÉS, SANS PIÈCES DE CONNEXION, N.D.A.")</f>
        <v xml:space="preserve">   CONDUCTEURS ÉLECTRIQUES, POUR TENSION &lt;= 1.000 V, ISOLÉS, SANS PIÈCES DE CONNEXION, N.D.A.</v>
      </c>
      <c r="C10287">
        <v>8738500</v>
      </c>
      <c r="D10287">
        <v>33055</v>
      </c>
    </row>
    <row r="10288" spans="1:4" x14ac:dyDescent="0.25">
      <c r="A10288" t="str">
        <f>T("   854459")</f>
        <v xml:space="preserve">   854459</v>
      </c>
      <c r="B10288" t="str">
        <f>T("   Conducteurs électriques, pour tension &gt; 80 V mais &lt;= 1.000 V, sans pièces de connexion, n.d.a.")</f>
        <v xml:space="preserve">   Conducteurs électriques, pour tension &gt; 80 V mais &lt;= 1.000 V, sans pièces de connexion, n.d.a.</v>
      </c>
      <c r="C10288">
        <v>19594837</v>
      </c>
      <c r="D10288">
        <v>3270</v>
      </c>
    </row>
    <row r="10289" spans="1:4" x14ac:dyDescent="0.25">
      <c r="A10289" t="str">
        <f>T("   871499")</f>
        <v xml:space="preserve">   871499</v>
      </c>
      <c r="B10289" t="str">
        <f>T("   Parties et accessoires, de bicyclettes, n.d.a.")</f>
        <v xml:space="preserve">   Parties et accessoires, de bicyclettes, n.d.a.</v>
      </c>
      <c r="C10289">
        <v>400000</v>
      </c>
      <c r="D10289">
        <v>3000</v>
      </c>
    </row>
    <row r="10290" spans="1:4" x14ac:dyDescent="0.25">
      <c r="A10290" t="str">
        <f>T("   901600")</f>
        <v xml:space="preserve">   901600</v>
      </c>
      <c r="B10290" t="str">
        <f>T("   Balances sensibles à un poids de 5 cg ou moins, avec ou sans poids")</f>
        <v xml:space="preserve">   Balances sensibles à un poids de 5 cg ou moins, avec ou sans poids</v>
      </c>
      <c r="C10290">
        <v>7500000</v>
      </c>
      <c r="D10290">
        <v>1500</v>
      </c>
    </row>
    <row r="10291" spans="1:4" x14ac:dyDescent="0.25">
      <c r="A10291" t="str">
        <f>T("   902830")</f>
        <v xml:space="preserve">   902830</v>
      </c>
      <c r="B10291" t="str">
        <f>T("   Compteurs d'électricité, y.c. les compteurs pour leur étalonnage")</f>
        <v xml:space="preserve">   Compteurs d'électricité, y.c. les compteurs pour leur étalonnage</v>
      </c>
      <c r="C10291">
        <v>322730037</v>
      </c>
      <c r="D10291">
        <v>109174</v>
      </c>
    </row>
    <row r="10292" spans="1:4" x14ac:dyDescent="0.25">
      <c r="A10292" t="str">
        <f>T("TO")</f>
        <v>TO</v>
      </c>
      <c r="B10292" t="str">
        <f>T("Tonga")</f>
        <v>Tonga</v>
      </c>
    </row>
    <row r="10293" spans="1:4" x14ac:dyDescent="0.25">
      <c r="A10293" t="str">
        <f>T("   ZZ_Total_Produit_SH6")</f>
        <v xml:space="preserve">   ZZ_Total_Produit_SH6</v>
      </c>
      <c r="B10293" t="str">
        <f>T("   ZZ_Total_Produit_SH6")</f>
        <v xml:space="preserve">   ZZ_Total_Produit_SH6</v>
      </c>
      <c r="C10293">
        <v>5965948</v>
      </c>
      <c r="D10293">
        <v>105</v>
      </c>
    </row>
    <row r="10294" spans="1:4" x14ac:dyDescent="0.25">
      <c r="A10294" t="str">
        <f>T("   490199")</f>
        <v xml:space="preserve">   490199</v>
      </c>
      <c r="B10294"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10294">
        <v>5965948</v>
      </c>
      <c r="D10294">
        <v>105</v>
      </c>
    </row>
    <row r="10295" spans="1:4" x14ac:dyDescent="0.25">
      <c r="A10295" t="str">
        <f>T("TR")</f>
        <v>TR</v>
      </c>
      <c r="B10295" t="str">
        <f>T("Turquie")</f>
        <v>Turquie</v>
      </c>
    </row>
    <row r="10296" spans="1:4" x14ac:dyDescent="0.25">
      <c r="A10296" t="str">
        <f>T("   ZZ_Total_Produit_SH6")</f>
        <v xml:space="preserve">   ZZ_Total_Produit_SH6</v>
      </c>
      <c r="B10296" t="str">
        <f>T("   ZZ_Total_Produit_SH6")</f>
        <v xml:space="preserve">   ZZ_Total_Produit_SH6</v>
      </c>
      <c r="C10296">
        <v>19820314762.59</v>
      </c>
      <c r="D10296">
        <v>264635316</v>
      </c>
    </row>
    <row r="10297" spans="1:4" x14ac:dyDescent="0.25">
      <c r="A10297" t="str">
        <f>T("   020712")</f>
        <v xml:space="preserve">   020712</v>
      </c>
      <c r="B10297" t="str">
        <f>T("   COQS ET POULES [DES ESPÈCES DOMESTIQUES], NON-DÉCOUPÉS EN MORCEAUX, CONGELÉS")</f>
        <v xml:space="preserve">   COQS ET POULES [DES ESPÈCES DOMESTIQUES], NON-DÉCOUPÉS EN MORCEAUX, CONGELÉS</v>
      </c>
      <c r="C10297">
        <v>266216327</v>
      </c>
      <c r="D10297">
        <v>424175</v>
      </c>
    </row>
    <row r="10298" spans="1:4" x14ac:dyDescent="0.25">
      <c r="A10298" t="str">
        <f>T("   020714")</f>
        <v xml:space="preserve">   020714</v>
      </c>
      <c r="B10298" t="str">
        <f>T("   Morceaux et abats comestibles de coqs et de poules [des espèces domestiques], congelés")</f>
        <v xml:space="preserve">   Morceaux et abats comestibles de coqs et de poules [des espèces domestiques], congelés</v>
      </c>
      <c r="C10298">
        <v>15550188</v>
      </c>
      <c r="D10298">
        <v>26000</v>
      </c>
    </row>
    <row r="10299" spans="1:4" x14ac:dyDescent="0.25">
      <c r="A10299" t="str">
        <f>T("   020727")</f>
        <v xml:space="preserve">   020727</v>
      </c>
      <c r="B10299" t="str">
        <f>T("   Morceaux et abats comestibles de dindes et dindons [des espèces domestiques], congelés")</f>
        <v xml:space="preserve">   Morceaux et abats comestibles de dindes et dindons [des espèces domestiques], congelés</v>
      </c>
      <c r="C10299">
        <v>107606429</v>
      </c>
      <c r="D10299">
        <v>164300</v>
      </c>
    </row>
    <row r="10300" spans="1:4" x14ac:dyDescent="0.25">
      <c r="A10300" t="str">
        <f>T("   100110")</f>
        <v xml:space="preserve">   100110</v>
      </c>
      <c r="B10300" t="str">
        <f>T("   Froment [blé] dur")</f>
        <v xml:space="preserve">   Froment [blé] dur</v>
      </c>
      <c r="C10300">
        <v>36750000</v>
      </c>
      <c r="D10300">
        <v>245000</v>
      </c>
    </row>
    <row r="10301" spans="1:4" x14ac:dyDescent="0.25">
      <c r="A10301" t="str">
        <f>T("   110100")</f>
        <v xml:space="preserve">   110100</v>
      </c>
      <c r="B10301" t="str">
        <f>T("   Farines de froment [blé] ou de méteil")</f>
        <v xml:space="preserve">   Farines de froment [blé] ou de méteil</v>
      </c>
      <c r="C10301">
        <v>1216427509.1830001</v>
      </c>
      <c r="D10301">
        <v>4493724</v>
      </c>
    </row>
    <row r="10302" spans="1:4" x14ac:dyDescent="0.25">
      <c r="A10302" t="str">
        <f>T("   110311")</f>
        <v xml:space="preserve">   110311</v>
      </c>
      <c r="B10302" t="str">
        <f>T("   Gruaux et semoules de froment [blé]")</f>
        <v xml:space="preserve">   Gruaux et semoules de froment [blé]</v>
      </c>
      <c r="C10302">
        <v>146201773</v>
      </c>
      <c r="D10302">
        <v>517517</v>
      </c>
    </row>
    <row r="10303" spans="1:4" x14ac:dyDescent="0.25">
      <c r="A10303" t="str">
        <f>T("   151219")</f>
        <v xml:space="preserve">   151219</v>
      </c>
      <c r="B10303" t="str">
        <f>T("   Huiles de tournesol ou de carthame et leurs fractions, même raffinées, mais non chimiquement modifiées (à l'excl. des huiles brutes)")</f>
        <v xml:space="preserve">   Huiles de tournesol ou de carthame et leurs fractions, même raffinées, mais non chimiquement modifiées (à l'excl. des huiles brutes)</v>
      </c>
      <c r="C10303">
        <v>8996500</v>
      </c>
      <c r="D10303">
        <v>35986</v>
      </c>
    </row>
    <row r="10304" spans="1:4" x14ac:dyDescent="0.25">
      <c r="A10304" t="str">
        <f>T("   151620")</f>
        <v xml:space="preserve">   151620</v>
      </c>
      <c r="B10304" t="str">
        <f>T("   Graisses et huiles végétales et leurs fractions, partiellement ou totalement hydrogénées, interestérifiées, réestérifiées ou élaïdinisées, même raffinées, mais non autrement préparées")</f>
        <v xml:space="preserve">   Graisses et huiles végétales et leurs fractions, partiellement ou totalement hydrogénées, interestérifiées, réestérifiées ou élaïdinisées, même raffinées, mais non autrement préparées</v>
      </c>
      <c r="C10304">
        <v>5500000</v>
      </c>
      <c r="D10304">
        <v>17753</v>
      </c>
    </row>
    <row r="10305" spans="1:4" x14ac:dyDescent="0.25">
      <c r="A10305" t="str">
        <f>T("   170191")</f>
        <v xml:space="preserve">   170191</v>
      </c>
      <c r="B10305" t="str">
        <f>T("   Sucres de canne ou de betterave, à l'état solide, additionnés d'aromatisants ou de colorants")</f>
        <v xml:space="preserve">   Sucres de canne ou de betterave, à l'état solide, additionnés d'aromatisants ou de colorants</v>
      </c>
      <c r="C10305">
        <v>11373289.407</v>
      </c>
      <c r="D10305">
        <v>48750</v>
      </c>
    </row>
    <row r="10306" spans="1:4" x14ac:dyDescent="0.25">
      <c r="A10306" t="str">
        <f>T("   170199")</f>
        <v xml:space="preserve">   170199</v>
      </c>
      <c r="B10306" t="str">
        <f>T("   Sucres de canne ou de betterave et saccharose chimiquement pur, à l'état solide (à l'excl. des sucres bruts et des sucres de canne ou de betterave additionnés d'aromatisants ou de colorants)")</f>
        <v xml:space="preserve">   Sucres de canne ou de betterave et saccharose chimiquement pur, à l'état solide (à l'excl. des sucres bruts et des sucres de canne ou de betterave additionnés d'aromatisants ou de colorants)</v>
      </c>
      <c r="C10306">
        <v>42182961</v>
      </c>
      <c r="D10306">
        <v>115782</v>
      </c>
    </row>
    <row r="10307" spans="1:4" x14ac:dyDescent="0.25">
      <c r="A10307" t="str">
        <f>T("   170490")</f>
        <v xml:space="preserve">   170490</v>
      </c>
      <c r="B10307" t="str">
        <f>T("   Sucreries sans cacao, y.c. le chocolat blanc (à l'excl. des gommes à mâcher)")</f>
        <v xml:space="preserve">   Sucreries sans cacao, y.c. le chocolat blanc (à l'excl. des gommes à mâcher)</v>
      </c>
      <c r="C10307">
        <v>89915744</v>
      </c>
      <c r="D10307">
        <v>301361</v>
      </c>
    </row>
    <row r="10308" spans="1:4" x14ac:dyDescent="0.25">
      <c r="A10308" t="str">
        <f>T("   180631")</f>
        <v xml:space="preserve">   180631</v>
      </c>
      <c r="B10308" t="str">
        <f>T("   Chocolat et autres préparations alimentaires contenant du cacao, présentés en tablettes, barres ou bâtons, d'un poids &lt;= 2 kg, fourrés")</f>
        <v xml:space="preserve">   Chocolat et autres préparations alimentaires contenant du cacao, présentés en tablettes, barres ou bâtons, d'un poids &lt;= 2 kg, fourrés</v>
      </c>
      <c r="C10308">
        <v>4387362</v>
      </c>
      <c r="D10308">
        <v>9390</v>
      </c>
    </row>
    <row r="10309" spans="1:4" x14ac:dyDescent="0.25">
      <c r="A10309" t="str">
        <f>T("   180690")</f>
        <v xml:space="preserve">   180690</v>
      </c>
      <c r="B10309" t="str">
        <f>T("   Chocolat et autres préparations alimentaires contenant du cacao, en récipients ou en emballages immédiats d'un contenu &lt;= 2 kg (à l'excl. de la poudre de cacao et des produits présentés en tablettes, barres ou bâtons)")</f>
        <v xml:space="preserve">   Chocolat et autres préparations alimentaires contenant du cacao, en récipients ou en emballages immédiats d'un contenu &lt;= 2 kg (à l'excl. de la poudre de cacao et des produits présentés en tablettes, barres ou bâtons)</v>
      </c>
      <c r="C10309">
        <v>16274400</v>
      </c>
      <c r="D10309">
        <v>42067</v>
      </c>
    </row>
    <row r="10310" spans="1:4" x14ac:dyDescent="0.25">
      <c r="A10310" t="str">
        <f>T("   190120")</f>
        <v xml:space="preserve">   190120</v>
      </c>
      <c r="B10310" t="s">
        <v>47</v>
      </c>
      <c r="C10310">
        <v>20419713</v>
      </c>
      <c r="D10310">
        <v>16340</v>
      </c>
    </row>
    <row r="10311" spans="1:4" x14ac:dyDescent="0.25">
      <c r="A10311" t="str">
        <f>T("   190219")</f>
        <v xml:space="preserve">   190219</v>
      </c>
      <c r="B10311" t="str">
        <f>T("   PÂTES ALIMENTAIRES NON-CUITES NI FARCIES NI AUTREMENT PRÉPARÉES, NE CONTENANT PAS D'OEUFS")</f>
        <v xml:space="preserve">   PÂTES ALIMENTAIRES NON-CUITES NI FARCIES NI AUTREMENT PRÉPARÉES, NE CONTENANT PAS D'OEUFS</v>
      </c>
      <c r="C10311">
        <v>844637681</v>
      </c>
      <c r="D10311">
        <v>3313412</v>
      </c>
    </row>
    <row r="10312" spans="1:4" x14ac:dyDescent="0.25">
      <c r="A10312" t="str">
        <f>T("   190220")</f>
        <v xml:space="preserve">   190220</v>
      </c>
      <c r="B10312" t="str">
        <f>T("   Pâtes alimentaires, farcies de viande ou d'autres substances, même cuites ou autrement préparées")</f>
        <v xml:space="preserve">   Pâtes alimentaires, farcies de viande ou d'autres substances, même cuites ou autrement préparées</v>
      </c>
      <c r="C10312">
        <v>76833250</v>
      </c>
      <c r="D10312">
        <v>353068</v>
      </c>
    </row>
    <row r="10313" spans="1:4" x14ac:dyDescent="0.25">
      <c r="A10313" t="str">
        <f>T("   190230")</f>
        <v xml:space="preserve">   190230</v>
      </c>
      <c r="B10313" t="str">
        <f>T("   Pâtes alimentaires, cuites ou autrement préparées (à l'excl. des pâtes alimentaires farcies)")</f>
        <v xml:space="preserve">   Pâtes alimentaires, cuites ou autrement préparées (à l'excl. des pâtes alimentaires farcies)</v>
      </c>
      <c r="C10313">
        <v>895056850</v>
      </c>
      <c r="D10313">
        <v>4228353</v>
      </c>
    </row>
    <row r="10314" spans="1:4" x14ac:dyDescent="0.25">
      <c r="A10314" t="str">
        <f>T("   190240")</f>
        <v xml:space="preserve">   190240</v>
      </c>
      <c r="B10314" t="str">
        <f>T("   Couscous, même préparé")</f>
        <v xml:space="preserve">   Couscous, même préparé</v>
      </c>
      <c r="C10314">
        <v>23340000</v>
      </c>
      <c r="D10314">
        <v>75104</v>
      </c>
    </row>
    <row r="10315" spans="1:4" x14ac:dyDescent="0.25">
      <c r="A10315" t="str">
        <f>T("   190531")</f>
        <v xml:space="preserve">   190531</v>
      </c>
      <c r="B10315" t="str">
        <f>T("   Biscuits additionnés d'édulcorants")</f>
        <v xml:space="preserve">   Biscuits additionnés d'édulcorants</v>
      </c>
      <c r="C10315">
        <v>82626109</v>
      </c>
      <c r="D10315">
        <v>253991</v>
      </c>
    </row>
    <row r="10316" spans="1:4" x14ac:dyDescent="0.25">
      <c r="A10316" t="str">
        <f>T("   190532")</f>
        <v xml:space="preserve">   190532</v>
      </c>
      <c r="B10316" t="str">
        <f>T("   GAUFRES ET GAUFRETTES")</f>
        <v xml:space="preserve">   GAUFRES ET GAUFRETTES</v>
      </c>
      <c r="C10316">
        <v>14350147</v>
      </c>
      <c r="D10316">
        <v>38695</v>
      </c>
    </row>
    <row r="10317" spans="1:4" x14ac:dyDescent="0.25">
      <c r="A10317" t="str">
        <f>T("   190590")</f>
        <v xml:space="preserve">   190590</v>
      </c>
      <c r="B10317" t="s">
        <v>50</v>
      </c>
      <c r="C10317">
        <v>33485705</v>
      </c>
      <c r="D10317">
        <v>80459</v>
      </c>
    </row>
    <row r="10318" spans="1:4" x14ac:dyDescent="0.25">
      <c r="A10318" t="str">
        <f>T("   200980")</f>
        <v xml:space="preserve">   200980</v>
      </c>
      <c r="B10318" t="str">
        <f>T("   JUS DE FRUITS OU DE LÉGUMES, NON-FERMENTÉS, SANS ADDITION D'ALCOOL, AVEC OU SANS ADDITION DE SUCRE OU D'AUTRES ÉDULCORANTS (À L'EXCL. DES MÉLANGES AINSI QUE DES JUS D'AGRUMES, D'ANANAS, DE TOMATE, DE RAISIN - Y.C. LES MOÛTS - ET DE POMME)")</f>
        <v xml:space="preserve">   JUS DE FRUITS OU DE LÉGUMES, NON-FERMENTÉS, SANS ADDITION D'ALCOOL, AVEC OU SANS ADDITION DE SUCRE OU D'AUTRES ÉDULCORANTS (À L'EXCL. DES MÉLANGES AINSI QUE DES JUS D'AGRUMES, D'ANANAS, DE TOMATE, DE RAISIN - Y.C. LES MOÛTS - ET DE POMME)</v>
      </c>
      <c r="C10318">
        <v>9150892</v>
      </c>
      <c r="D10318">
        <v>38671</v>
      </c>
    </row>
    <row r="10319" spans="1:4" x14ac:dyDescent="0.25">
      <c r="A10319" t="str">
        <f>T("   200990")</f>
        <v xml:space="preserve">   200990</v>
      </c>
      <c r="B10319" t="str">
        <f>T("   MÉLANGES DE JUS DE FRUITS - Y.C. LES MOÛTS DE RAISIN - ET DE JUS DE LÉGUMES, NON-FERMENTÉS, SANS ADDITION D'ALCOOL, AVEC OU SANS ADDITION DE SUCRE OU D'AUTRES ÉDULCORANTS")</f>
        <v xml:space="preserve">   MÉLANGES DE JUS DE FRUITS - Y.C. LES MOÛTS DE RAISIN - ET DE JUS DE LÉGUMES, NON-FERMENTÉS, SANS ADDITION D'ALCOOL, AVEC OU SANS ADDITION DE SUCRE OU D'AUTRES ÉDULCORANTS</v>
      </c>
      <c r="C10319">
        <v>2483014</v>
      </c>
      <c r="D10319">
        <v>9286</v>
      </c>
    </row>
    <row r="10320" spans="1:4" x14ac:dyDescent="0.25">
      <c r="A10320" t="str">
        <f>T("   210210")</f>
        <v xml:space="preserve">   210210</v>
      </c>
      <c r="B10320" t="str">
        <f>T("   Levures vivantes")</f>
        <v xml:space="preserve">   Levures vivantes</v>
      </c>
      <c r="C10320">
        <v>233669594</v>
      </c>
      <c r="D10320">
        <v>169738</v>
      </c>
    </row>
    <row r="10321" spans="1:4" x14ac:dyDescent="0.25">
      <c r="A10321" t="str">
        <f>T("   210410")</f>
        <v xml:space="preserve">   210410</v>
      </c>
      <c r="B10321" t="str">
        <f>T("   Préparations pour soupes, potages ou bouillons; soupes, potages ou bouillons préparés")</f>
        <v xml:space="preserve">   Préparations pour soupes, potages ou bouillons; soupes, potages ou bouillons préparés</v>
      </c>
      <c r="C10321">
        <v>21136514</v>
      </c>
      <c r="D10321">
        <v>50240</v>
      </c>
    </row>
    <row r="10322" spans="1:4" x14ac:dyDescent="0.25">
      <c r="A10322" t="str">
        <f>T("   210690")</f>
        <v xml:space="preserve">   210690</v>
      </c>
      <c r="B10322" t="str">
        <f>T("   Préparations alimentaires, n.d.a.")</f>
        <v xml:space="preserve">   Préparations alimentaires, n.d.a.</v>
      </c>
      <c r="C10322">
        <v>30021415</v>
      </c>
      <c r="D10322">
        <v>20846</v>
      </c>
    </row>
    <row r="10323" spans="1:4" x14ac:dyDescent="0.25">
      <c r="A10323" t="str">
        <f>T("   220110")</f>
        <v xml:space="preserve">   220110</v>
      </c>
      <c r="B10323" t="str">
        <f>T("   Eaux minérales et eaux gazéifiées, non additionnées de sucre ou d'autres édulcorants ni aromatisées")</f>
        <v xml:space="preserve">   Eaux minérales et eaux gazéifiées, non additionnées de sucre ou d'autres édulcorants ni aromatisées</v>
      </c>
      <c r="C10323">
        <v>2584352</v>
      </c>
      <c r="D10323">
        <v>25102</v>
      </c>
    </row>
    <row r="10324" spans="1:4" x14ac:dyDescent="0.25">
      <c r="A10324" t="str">
        <f>T("   220210")</f>
        <v xml:space="preserve">   220210</v>
      </c>
      <c r="B10324" t="str">
        <f>T("   Eaux, y.c. les eaux minérales et les eaux gazéifiées, additionnées de sucre ou d'autres édulcorants ou aromatisées, directement consommables en l'état en tant que boissons")</f>
        <v xml:space="preserve">   Eaux, y.c. les eaux minérales et les eaux gazéifiées, additionnées de sucre ou d'autres édulcorants ou aromatisées, directement consommables en l'état en tant que boissons</v>
      </c>
      <c r="C10324">
        <v>3762898</v>
      </c>
      <c r="D10324">
        <v>18380</v>
      </c>
    </row>
    <row r="10325" spans="1:4" x14ac:dyDescent="0.25">
      <c r="A10325" t="str">
        <f>T("   220290")</f>
        <v xml:space="preserve">   220290</v>
      </c>
      <c r="B10325" t="str">
        <f>T("   BOISSONS NON-ALCOOLIQUES (À L'EXCL. DES EAUX, DES JUS DE FRUITS OU DE LÉGUMES AINSI QUE DU LAIT)")</f>
        <v xml:space="preserve">   BOISSONS NON-ALCOOLIQUES (À L'EXCL. DES EAUX, DES JUS DE FRUITS OU DE LÉGUMES AINSI QUE DU LAIT)</v>
      </c>
      <c r="C10325">
        <v>16564614</v>
      </c>
      <c r="D10325">
        <v>68202</v>
      </c>
    </row>
    <row r="10326" spans="1:4" x14ac:dyDescent="0.25">
      <c r="A10326" t="str">
        <f>T("   220300")</f>
        <v xml:space="preserve">   220300</v>
      </c>
      <c r="B10326" t="str">
        <f>T("   Bières de malt")</f>
        <v xml:space="preserve">   Bières de malt</v>
      </c>
      <c r="C10326">
        <v>402791651</v>
      </c>
      <c r="D10326">
        <v>1540815</v>
      </c>
    </row>
    <row r="10327" spans="1:4" x14ac:dyDescent="0.25">
      <c r="A10327" t="str">
        <f>T("   252020")</f>
        <v xml:space="preserve">   252020</v>
      </c>
      <c r="B10327" t="str">
        <f>T("   Plâtres, même colorés ou additionnés de faibles quantités d'accélérateurs ou de retardateurs")</f>
        <v xml:space="preserve">   Plâtres, même colorés ou additionnés de faibles quantités d'accélérateurs ou de retardateurs</v>
      </c>
      <c r="C10327">
        <v>53770347</v>
      </c>
      <c r="D10327">
        <v>840740</v>
      </c>
    </row>
    <row r="10328" spans="1:4" x14ac:dyDescent="0.25">
      <c r="A10328" t="str">
        <f>T("   252310")</f>
        <v xml:space="preserve">   252310</v>
      </c>
      <c r="B10328" t="str">
        <f>T("   Ciments non pulvérisés dits 'clinkers'")</f>
        <v xml:space="preserve">   Ciments non pulvérisés dits 'clinkers'</v>
      </c>
      <c r="C10328">
        <v>4234545000</v>
      </c>
      <c r="D10328">
        <v>120987000</v>
      </c>
    </row>
    <row r="10329" spans="1:4" x14ac:dyDescent="0.25">
      <c r="A10329" t="str">
        <f>T("   252321")</f>
        <v xml:space="preserve">   252321</v>
      </c>
      <c r="B10329" t="str">
        <f>T("   Ciments Portland blancs, même colorés artificiellement")</f>
        <v xml:space="preserve">   Ciments Portland blancs, même colorés artificiellement</v>
      </c>
      <c r="C10329">
        <v>15430605</v>
      </c>
      <c r="D10329">
        <v>280261</v>
      </c>
    </row>
    <row r="10330" spans="1:4" x14ac:dyDescent="0.25">
      <c r="A10330" t="str">
        <f>T("   252329")</f>
        <v xml:space="preserve">   252329</v>
      </c>
      <c r="B10330" t="str">
        <f>T("   Ciment Portland normal ou modéré (à l'excl. des ciments Portland blancs, même colorés artificiellement)")</f>
        <v xml:space="preserve">   Ciment Portland normal ou modéré (à l'excl. des ciments Portland blancs, même colorés artificiellement)</v>
      </c>
      <c r="C10330">
        <v>4147416900</v>
      </c>
      <c r="D10330">
        <v>109060050</v>
      </c>
    </row>
    <row r="10331" spans="1:4" x14ac:dyDescent="0.25">
      <c r="A10331" t="str">
        <f>T("   252520")</f>
        <v xml:space="preserve">   252520</v>
      </c>
      <c r="B10331" t="str">
        <f>T("   Mica en poudre")</f>
        <v xml:space="preserve">   Mica en poudre</v>
      </c>
      <c r="C10331">
        <v>2302624</v>
      </c>
      <c r="D10331">
        <v>27000</v>
      </c>
    </row>
    <row r="10332" spans="1:4" x14ac:dyDescent="0.25">
      <c r="A10332" t="str">
        <f>T("   271019")</f>
        <v xml:space="preserve">   271019</v>
      </c>
      <c r="B10332" t="str">
        <f>T("   Huiles moyennes et préparations, de pétrole ou de minéraux bitumineux, n.d.a.")</f>
        <v xml:space="preserve">   Huiles moyennes et préparations, de pétrole ou de minéraux bitumineux, n.d.a.</v>
      </c>
      <c r="C10332">
        <v>4205530252</v>
      </c>
      <c r="D10332">
        <v>10987385</v>
      </c>
    </row>
    <row r="10333" spans="1:4" x14ac:dyDescent="0.25">
      <c r="A10333" t="str">
        <f>T("   290549")</f>
        <v xml:space="preserve">   290549</v>
      </c>
      <c r="B10333" t="str">
        <f>T("   Triols, tétrols et autres polyalcools acycliques (à l'excl. des diols, du 2-éthyl-2-(hydroxyméthyl)propane-1,3-diol [triméthylolpropane], du pentaérythritol, du mannitol, du D-glucitol [sorbitol] et du glycérol)")</f>
        <v xml:space="preserve">   Triols, tétrols et autres polyalcools acycliques (à l'excl. des diols, du 2-éthyl-2-(hydroxyméthyl)propane-1,3-diol [triméthylolpropane], du pentaérythritol, du mannitol, du D-glucitol [sorbitol] et du glycérol)</v>
      </c>
      <c r="C10333">
        <v>1065712</v>
      </c>
      <c r="D10333">
        <v>1660</v>
      </c>
    </row>
    <row r="10334" spans="1:4" x14ac:dyDescent="0.25">
      <c r="A10334" t="str">
        <f>T("   330300")</f>
        <v xml:space="preserve">   330300</v>
      </c>
      <c r="B10334" t="str">
        <f>T("   Parfums et eaux de toilette (à l'excl. des préparations pour l'après-rasage [lotions after-shave] et des désodorisants corporels)")</f>
        <v xml:space="preserve">   Parfums et eaux de toilette (à l'excl. des préparations pour l'après-rasage [lotions after-shave] et des désodorisants corporels)</v>
      </c>
      <c r="C10334">
        <v>914124</v>
      </c>
      <c r="D10334">
        <v>463</v>
      </c>
    </row>
    <row r="10335" spans="1:4" x14ac:dyDescent="0.25">
      <c r="A10335" t="str">
        <f>T("   330610")</f>
        <v xml:space="preserve">   330610</v>
      </c>
      <c r="B10335" t="str">
        <f>T("   Dentifrices, préparés, même des types utilisés par les dentistes")</f>
        <v xml:space="preserve">   Dentifrices, préparés, même des types utilisés par les dentistes</v>
      </c>
      <c r="C10335">
        <v>817771</v>
      </c>
      <c r="D10335">
        <v>1974</v>
      </c>
    </row>
    <row r="10336" spans="1:4" x14ac:dyDescent="0.25">
      <c r="A10336" t="str">
        <f>T("   330749")</f>
        <v xml:space="preserve">   330749</v>
      </c>
      <c r="B10336" t="str">
        <f>T("   Préparations pour parfumer ou pour désodoriser les locaux, y.c. les préparations odoriférantes pour cérémonies religieuses (à l'excl. de l'agarbatti et des autres préparations odoriférantes agissant par combustion)")</f>
        <v xml:space="preserve">   Préparations pour parfumer ou pour désodoriser les locaux, y.c. les préparations odoriférantes pour cérémonies religieuses (à l'excl. de l'agarbatti et des autres préparations odoriférantes agissant par combustion)</v>
      </c>
      <c r="C10336">
        <v>17903218</v>
      </c>
      <c r="D10336">
        <v>23835</v>
      </c>
    </row>
    <row r="10337" spans="1:4" x14ac:dyDescent="0.25">
      <c r="A10337" t="str">
        <f>T("   340111")</f>
        <v xml:space="preserve">   340111</v>
      </c>
      <c r="B10337" t="s">
        <v>101</v>
      </c>
      <c r="C10337">
        <v>34463102</v>
      </c>
      <c r="D10337">
        <v>101549</v>
      </c>
    </row>
    <row r="10338" spans="1:4" x14ac:dyDescent="0.25">
      <c r="A10338" t="str">
        <f>T("   340119")</f>
        <v xml:space="preserve">   340119</v>
      </c>
      <c r="B10338" t="s">
        <v>102</v>
      </c>
      <c r="C10338">
        <v>20084564</v>
      </c>
      <c r="D10338">
        <v>90662</v>
      </c>
    </row>
    <row r="10339" spans="1:4" x14ac:dyDescent="0.25">
      <c r="A10339" t="str">
        <f>T("   340120")</f>
        <v xml:space="preserve">   340120</v>
      </c>
      <c r="B10339" t="str">
        <f>T("   Savons en flocons, en paillettes, en granulés ou en poudres et savons liquides ou pâteux")</f>
        <v xml:space="preserve">   Savons en flocons, en paillettes, en granulés ou en poudres et savons liquides ou pâteux</v>
      </c>
      <c r="C10339">
        <v>1565716</v>
      </c>
      <c r="D10339">
        <v>5474</v>
      </c>
    </row>
    <row r="10340" spans="1:4" x14ac:dyDescent="0.25">
      <c r="A10340" t="str">
        <f>T("   340130")</f>
        <v xml:space="preserve">   340130</v>
      </c>
      <c r="B10340" t="str">
        <f>T("   Produits et préparations organiques tensio-actifs destinés au lavage de la peau, sous forme de liquide ou de crème, conditionnés pour la vente au détail, même contenant  du savon")</f>
        <v xml:space="preserve">   Produits et préparations organiques tensio-actifs destinés au lavage de la peau, sous forme de liquide ou de crème, conditionnés pour la vente au détail, même contenant  du savon</v>
      </c>
      <c r="C10340">
        <v>4923404</v>
      </c>
      <c r="D10340">
        <v>12230</v>
      </c>
    </row>
    <row r="10341" spans="1:4" x14ac:dyDescent="0.25">
      <c r="A10341" t="str">
        <f>T("   340220")</f>
        <v xml:space="preserve">   340220</v>
      </c>
      <c r="B10341" t="s">
        <v>103</v>
      </c>
      <c r="C10341">
        <v>4924955</v>
      </c>
      <c r="D10341">
        <v>8928</v>
      </c>
    </row>
    <row r="10342" spans="1:4" x14ac:dyDescent="0.25">
      <c r="A10342" t="str">
        <f>T("   340590")</f>
        <v xml:space="preserve">   340590</v>
      </c>
      <c r="B10342" t="str">
        <f>T("   Brillants pour verre ou métaux, même sous forme de papier, ouates, feutres, nontissés, matière plastique ou caoutchouc alvéolaires, imprégnés, enduits ou recouverts de ces préparations")</f>
        <v xml:space="preserve">   Brillants pour verre ou métaux, même sous forme de papier, ouates, feutres, nontissés, matière plastique ou caoutchouc alvéolaires, imprégnés, enduits ou recouverts de ces préparations</v>
      </c>
      <c r="C10342">
        <v>1583643</v>
      </c>
      <c r="D10342">
        <v>4011</v>
      </c>
    </row>
    <row r="10343" spans="1:4" x14ac:dyDescent="0.25">
      <c r="A10343" t="str">
        <f>T("   350691")</f>
        <v xml:space="preserve">   350691</v>
      </c>
      <c r="B10343" t="str">
        <f>T("   Adhésifs à base de polymères du n° 3901 à 3913 ou de caoutchouc (à l'excl. des produits conditionnés pour la vente au détail comme colles ou adhésifs, d'un poids net &lt;= 1 kg)")</f>
        <v xml:space="preserve">   Adhésifs à base de polymères du n° 3901 à 3913 ou de caoutchouc (à l'excl. des produits conditionnés pour la vente au détail comme colles ou adhésifs, d'un poids net &lt;= 1 kg)</v>
      </c>
      <c r="C10343">
        <v>13939977</v>
      </c>
      <c r="D10343">
        <v>6849</v>
      </c>
    </row>
    <row r="10344" spans="1:4" x14ac:dyDescent="0.25">
      <c r="A10344" t="str">
        <f>T("   360610")</f>
        <v xml:space="preserve">   360610</v>
      </c>
      <c r="B10344" t="str">
        <f>T("   Combustibles liquides et gaz combustibles liquéfiés en récipients des types utilisés pour alimenter ou recharger les briquets ou les allumeurs et d'une capacité &lt;= 300 cm³")</f>
        <v xml:space="preserve">   Combustibles liquides et gaz combustibles liquéfiés en récipients des types utilisés pour alimenter ou recharger les briquets ou les allumeurs et d'une capacité &lt;= 300 cm³</v>
      </c>
      <c r="C10344">
        <v>50622</v>
      </c>
      <c r="D10344">
        <v>74</v>
      </c>
    </row>
    <row r="10345" spans="1:4" x14ac:dyDescent="0.25">
      <c r="A10345" t="str">
        <f>T("   380810")</f>
        <v xml:space="preserve">   380810</v>
      </c>
      <c r="B10345" t="str">
        <f>T("   Insecticides présentés dans des formes ou emballages de vente au détail ou à l'état de préparations ou sous forme d'articles")</f>
        <v xml:space="preserve">   Insecticides présentés dans des formes ou emballages de vente au détail ou à l'état de préparations ou sous forme d'articles</v>
      </c>
      <c r="C10345">
        <v>776068</v>
      </c>
      <c r="D10345">
        <v>1530</v>
      </c>
    </row>
    <row r="10346" spans="1:4" x14ac:dyDescent="0.25">
      <c r="A10346" t="str">
        <f>T("   380991")</f>
        <v xml:space="preserve">   380991</v>
      </c>
      <c r="B10346" t="s">
        <v>120</v>
      </c>
      <c r="C10346">
        <v>951510</v>
      </c>
      <c r="D10346">
        <v>1850</v>
      </c>
    </row>
    <row r="10347" spans="1:4" x14ac:dyDescent="0.25">
      <c r="A10347" t="str">
        <f>T("   381900")</f>
        <v xml:space="preserve">   381900</v>
      </c>
      <c r="B10347" t="str">
        <f>T("   Liquides pour freins hydrauliques et autres liquides préparés pour transmissions hydrauliques, ne contenant ni huiles de pétrole ni huiles de minéraux bitumineux ou en contenant &lt; 70% en poids")</f>
        <v xml:space="preserve">   Liquides pour freins hydrauliques et autres liquides préparés pour transmissions hydrauliques, ne contenant ni huiles de pétrole ni huiles de minéraux bitumineux ou en contenant &lt; 70% en poids</v>
      </c>
      <c r="C10347">
        <v>4716325</v>
      </c>
      <c r="D10347">
        <v>15660</v>
      </c>
    </row>
    <row r="10348" spans="1:4" x14ac:dyDescent="0.25">
      <c r="A10348" t="str">
        <f>T("   390390")</f>
        <v xml:space="preserve">   390390</v>
      </c>
      <c r="B10348" t="str">
        <f>T("   Polymères du styrène, sous formes primaires (à l'excl. du polystyrène ainsi que des copolymères de styrène-acrylonitrile [SAN] ou d'acrylonitrile-butadiène-styrène [ABS])")</f>
        <v xml:space="preserve">   Polymères du styrène, sous formes primaires (à l'excl. du polystyrène ainsi que des copolymères de styrène-acrylonitrile [SAN] ou d'acrylonitrile-butadiène-styrène [ABS])</v>
      </c>
      <c r="C10348">
        <v>18427759</v>
      </c>
      <c r="D10348">
        <v>37720</v>
      </c>
    </row>
    <row r="10349" spans="1:4" x14ac:dyDescent="0.25">
      <c r="A10349" t="str">
        <f>T("   390519")</f>
        <v xml:space="preserve">   390519</v>
      </c>
      <c r="B10349" t="str">
        <f>T("   Poly[acétate de vinyle], sous formes primaires (à l'excl. des produits en dispersion aqueuse)")</f>
        <v xml:space="preserve">   Poly[acétate de vinyle], sous formes primaires (à l'excl. des produits en dispersion aqueuse)</v>
      </c>
      <c r="C10349">
        <v>784364</v>
      </c>
      <c r="D10349">
        <v>1660</v>
      </c>
    </row>
    <row r="10350" spans="1:4" x14ac:dyDescent="0.25">
      <c r="A10350" t="str">
        <f>T("   390750")</f>
        <v xml:space="preserve">   390750</v>
      </c>
      <c r="B10350" t="str">
        <f>T("   Résines alkydes, sous formes primaires")</f>
        <v xml:space="preserve">   Résines alkydes, sous formes primaires</v>
      </c>
      <c r="C10350">
        <v>36248270</v>
      </c>
      <c r="D10350">
        <v>39512</v>
      </c>
    </row>
    <row r="10351" spans="1:4" x14ac:dyDescent="0.25">
      <c r="A10351" t="str">
        <f>T("   391890")</f>
        <v xml:space="preserve">   391890</v>
      </c>
      <c r="B10351" t="s">
        <v>129</v>
      </c>
      <c r="C10351">
        <v>6048662</v>
      </c>
      <c r="D10351">
        <v>13243</v>
      </c>
    </row>
    <row r="10352" spans="1:4" x14ac:dyDescent="0.25">
      <c r="A10352" t="str">
        <f>T("   392329")</f>
        <v xml:space="preserve">   392329</v>
      </c>
      <c r="B10352" t="str">
        <f>T("   Sacs, sachets, pochettes et cornets, en matières plastiques (autres que les polymères de l'éthylène)")</f>
        <v xml:space="preserve">   Sacs, sachets, pochettes et cornets, en matières plastiques (autres que les polymères de l'éthylène)</v>
      </c>
      <c r="C10352">
        <v>1229227</v>
      </c>
      <c r="D10352">
        <v>338.5</v>
      </c>
    </row>
    <row r="10353" spans="1:4" x14ac:dyDescent="0.25">
      <c r="A10353" t="str">
        <f>T("   392340")</f>
        <v xml:space="preserve">   392340</v>
      </c>
      <c r="B10353" t="str">
        <f>T("   Bobines, fusettes, canettes et supports simil., en matières plastiques")</f>
        <v xml:space="preserve">   Bobines, fusettes, canettes et supports simil., en matières plastiques</v>
      </c>
      <c r="C10353">
        <v>218584</v>
      </c>
      <c r="D10353">
        <v>100</v>
      </c>
    </row>
    <row r="10354" spans="1:4" x14ac:dyDescent="0.25">
      <c r="A10354" t="str">
        <f>T("   392350")</f>
        <v xml:space="preserve">   392350</v>
      </c>
      <c r="B10354" t="str">
        <f>T("   Bouchons, couvercles, capsules et autres dispositifs de fermeture, en matières plastiques")</f>
        <v xml:space="preserve">   Bouchons, couvercles, capsules et autres dispositifs de fermeture, en matières plastiques</v>
      </c>
      <c r="C10354">
        <v>34450777</v>
      </c>
      <c r="D10354">
        <v>22097</v>
      </c>
    </row>
    <row r="10355" spans="1:4" x14ac:dyDescent="0.25">
      <c r="A10355" t="str">
        <f>T("   392490")</f>
        <v xml:space="preserve">   392490</v>
      </c>
      <c r="B10355" t="s">
        <v>145</v>
      </c>
      <c r="C10355">
        <v>6545720</v>
      </c>
      <c r="D10355">
        <v>3820</v>
      </c>
    </row>
    <row r="10356" spans="1:4" x14ac:dyDescent="0.25">
      <c r="A10356" t="str">
        <f>T("   392610")</f>
        <v xml:space="preserve">   392610</v>
      </c>
      <c r="B10356" t="str">
        <f>T("   Articles de bureau et articles scolaires, en matières plastiques, n.d.a.")</f>
        <v xml:space="preserve">   Articles de bureau et articles scolaires, en matières plastiques, n.d.a.</v>
      </c>
      <c r="C10356">
        <v>5000000</v>
      </c>
      <c r="D10356">
        <v>6544</v>
      </c>
    </row>
    <row r="10357" spans="1:4" x14ac:dyDescent="0.25">
      <c r="A10357" t="str">
        <f>T("   392690")</f>
        <v xml:space="preserve">   392690</v>
      </c>
      <c r="B10357" t="str">
        <f>T("   Ouvrages en matières plastiques et ouvrages en autres matières du n° 3901 à 3914, n.d.a.")</f>
        <v xml:space="preserve">   Ouvrages en matières plastiques et ouvrages en autres matières du n° 3901 à 3914, n.d.a.</v>
      </c>
      <c r="C10357">
        <v>35166</v>
      </c>
      <c r="D10357">
        <v>10.5</v>
      </c>
    </row>
    <row r="10358" spans="1:4" x14ac:dyDescent="0.25">
      <c r="A10358" t="str">
        <f>T("   400912")</f>
        <v xml:space="preserve">   400912</v>
      </c>
      <c r="B10358" t="str">
        <f>T("   TUBES ET TUYAUX EN CAOUTCHOUC VULCANISÉ NON DURCI, NON RENFORCÉS À L'AIDE D'AUTRES MATIÈRES NI AUTREMENT ASSOCIÉS À D'AUTRES MATIÈRES, AVEC ACCESSOIRES [JOINTS, COUDES, RACCORDS, PAR EXEMPLE]")</f>
        <v xml:space="preserve">   TUBES ET TUYAUX EN CAOUTCHOUC VULCANISÉ NON DURCI, NON RENFORCÉS À L'AIDE D'AUTRES MATIÈRES NI AUTREMENT ASSOCIÉS À D'AUTRES MATIÈRES, AVEC ACCESSOIRES [JOINTS, COUDES, RACCORDS, PAR EXEMPLE]</v>
      </c>
      <c r="C10358">
        <v>146292</v>
      </c>
      <c r="D10358">
        <v>53</v>
      </c>
    </row>
    <row r="10359" spans="1:4" x14ac:dyDescent="0.25">
      <c r="A10359" t="str">
        <f>T("   400922")</f>
        <v xml:space="preserve">   400922</v>
      </c>
      <c r="B10359" t="str">
        <f>T("   TUBES ET TUYAUX EN CAOUTCHOUC VULCANISÉ NON DURCI, RENFORCÉS SEULEMENT À L'AIDE DE MÉTAL OU AUTREMENT ASSOCIÉS SEULEMENT À DU MÉTAL, AVEC ACCESSOIRES [JOINTS, COUDES, RACCORDS, PAR EXEMPLE]")</f>
        <v xml:space="preserve">   TUBES ET TUYAUX EN CAOUTCHOUC VULCANISÉ NON DURCI, RENFORCÉS SEULEMENT À L'AIDE DE MÉTAL OU AUTREMENT ASSOCIÉS SEULEMENT À DU MÉTAL, AVEC ACCESSOIRES [JOINTS, COUDES, RACCORDS, PAR EXEMPLE]</v>
      </c>
      <c r="C10359">
        <v>2475593</v>
      </c>
      <c r="D10359">
        <v>2766</v>
      </c>
    </row>
    <row r="10360" spans="1:4" x14ac:dyDescent="0.25">
      <c r="A10360" t="str">
        <f>T("   401110")</f>
        <v xml:space="preserve">   401110</v>
      </c>
      <c r="B10360" t="str">
        <f>T("   Pneumatiques neufs, en caoutchouc, des types utilisés pour les voitures de tourisme, y.c. les voitures du type 'break' et les voitures de course")</f>
        <v xml:space="preserve">   Pneumatiques neufs, en caoutchouc, des types utilisés pour les voitures de tourisme, y.c. les voitures du type 'break' et les voitures de course</v>
      </c>
      <c r="C10360">
        <v>14700000</v>
      </c>
      <c r="D10360">
        <v>4071</v>
      </c>
    </row>
    <row r="10361" spans="1:4" x14ac:dyDescent="0.25">
      <c r="A10361" t="str">
        <f>T("   401120")</f>
        <v xml:space="preserve">   401120</v>
      </c>
      <c r="B10361" t="str">
        <f>T("   Pneumatiques neufs, en caoutchouc, des types utilisés pour les autobus ou les camions (à l'excl. des pneumatiques à crampons, à chevrons ou simil.)")</f>
        <v xml:space="preserve">   Pneumatiques neufs, en caoutchouc, des types utilisés pour les autobus ou les camions (à l'excl. des pneumatiques à crampons, à chevrons ou simil.)</v>
      </c>
      <c r="C10361">
        <v>22300000</v>
      </c>
      <c r="D10361">
        <v>4198</v>
      </c>
    </row>
    <row r="10362" spans="1:4" x14ac:dyDescent="0.25">
      <c r="A10362" t="str">
        <f>T("   401699")</f>
        <v xml:space="preserve">   401699</v>
      </c>
      <c r="B10362" t="str">
        <f>T("   OUVRAGES EN CAOUTCHOUC VULCANISÉ NON-DURCI, N.D.A.")</f>
        <v xml:space="preserve">   OUVRAGES EN CAOUTCHOUC VULCANISÉ NON-DURCI, N.D.A.</v>
      </c>
      <c r="C10362">
        <v>1196458</v>
      </c>
      <c r="D10362">
        <v>420</v>
      </c>
    </row>
    <row r="10363" spans="1:4" x14ac:dyDescent="0.25">
      <c r="A10363" t="str">
        <f>T("   481810")</f>
        <v xml:space="preserve">   481810</v>
      </c>
      <c r="B10363" t="str">
        <f>T("   Papier hygiénique, en rouleaux d'une largeur &lt;= 36 cm")</f>
        <v xml:space="preserve">   Papier hygiénique, en rouleaux d'une largeur &lt;= 36 cm</v>
      </c>
      <c r="C10363">
        <v>24540461</v>
      </c>
      <c r="D10363">
        <v>18258</v>
      </c>
    </row>
    <row r="10364" spans="1:4" x14ac:dyDescent="0.25">
      <c r="A10364" t="str">
        <f>T("   481820")</f>
        <v xml:space="preserve">   481820</v>
      </c>
      <c r="B10364" t="str">
        <f>T("   Mouchoirs, serviettes à démaquiller et essuie-mains, en pâte à papier, papier, ouate de cellulose ou nappes de fibres de cellulose")</f>
        <v xml:space="preserve">   Mouchoirs, serviettes à démaquiller et essuie-mains, en pâte à papier, papier, ouate de cellulose ou nappes de fibres de cellulose</v>
      </c>
      <c r="C10364">
        <v>1613625</v>
      </c>
      <c r="D10364">
        <v>4378</v>
      </c>
    </row>
    <row r="10365" spans="1:4" x14ac:dyDescent="0.25">
      <c r="A10365" t="str">
        <f>T("   481840")</f>
        <v xml:space="preserve">   481840</v>
      </c>
      <c r="B10365" t="str">
        <f>T("   Serviettes et tampons hygiéniques, couches pour bébés et articles hygiéniques simil., en pâte à papier, papier, ouate de cellulose ou nappes de fibres de cellulose")</f>
        <v xml:space="preserve">   Serviettes et tampons hygiéniques, couches pour bébés et articles hygiéniques simil., en pâte à papier, papier, ouate de cellulose ou nappes de fibres de cellulose</v>
      </c>
      <c r="C10365">
        <v>83492532</v>
      </c>
      <c r="D10365">
        <v>76304</v>
      </c>
    </row>
    <row r="10366" spans="1:4" x14ac:dyDescent="0.25">
      <c r="A10366" t="str">
        <f>T("   481890")</f>
        <v xml:space="preserve">   481890</v>
      </c>
      <c r="B10366" t="s">
        <v>215</v>
      </c>
      <c r="C10366">
        <v>11220052</v>
      </c>
      <c r="D10366">
        <v>10879</v>
      </c>
    </row>
    <row r="10367" spans="1:4" x14ac:dyDescent="0.25">
      <c r="A10367" t="str">
        <f>T("   481910")</f>
        <v xml:space="preserve">   481910</v>
      </c>
      <c r="B10367" t="str">
        <f>T("   Boîtes et caisses en papier ou en carton ondulé")</f>
        <v xml:space="preserve">   Boîtes et caisses en papier ou en carton ondulé</v>
      </c>
      <c r="C10367">
        <v>224338</v>
      </c>
      <c r="D10367">
        <v>1099</v>
      </c>
    </row>
    <row r="10368" spans="1:4" x14ac:dyDescent="0.25">
      <c r="A10368" t="str">
        <f>T("   481920")</f>
        <v xml:space="preserve">   481920</v>
      </c>
      <c r="B10368" t="str">
        <f>T("   Boîtes et cartonnages, pliants, en papier ou en carton non ondulé")</f>
        <v xml:space="preserve">   Boîtes et cartonnages, pliants, en papier ou en carton non ondulé</v>
      </c>
      <c r="C10368">
        <v>3144672</v>
      </c>
      <c r="D10368">
        <v>942</v>
      </c>
    </row>
    <row r="10369" spans="1:4" x14ac:dyDescent="0.25">
      <c r="A10369" t="str">
        <f>T("   481940")</f>
        <v xml:space="preserve">   481940</v>
      </c>
      <c r="B10369" t="str">
        <f>T("   Sacs, sachets, pochettes et cornets, en papier, carton, ouate de cellulose ou nappes de fibres de cellulose (à l'excl. des pochettes pour disques et des sacs d'une largeur à la base &gt;= 40 cm)")</f>
        <v xml:space="preserve">   Sacs, sachets, pochettes et cornets, en papier, carton, ouate de cellulose ou nappes de fibres de cellulose (à l'excl. des pochettes pour disques et des sacs d'une largeur à la base &gt;= 40 cm)</v>
      </c>
      <c r="C10369">
        <v>543764</v>
      </c>
      <c r="D10369">
        <v>1400</v>
      </c>
    </row>
    <row r="10370" spans="1:4" x14ac:dyDescent="0.25">
      <c r="A10370" t="str">
        <f>T("   481950")</f>
        <v xml:space="preserve">   481950</v>
      </c>
      <c r="B10370" t="s">
        <v>216</v>
      </c>
      <c r="C10370">
        <v>267019</v>
      </c>
      <c r="D10370">
        <v>150</v>
      </c>
    </row>
    <row r="10371" spans="1:4" x14ac:dyDescent="0.25">
      <c r="A10371" t="str">
        <f>T("   491000")</f>
        <v xml:space="preserve">   491000</v>
      </c>
      <c r="B10371" t="str">
        <f>T("   Calendriers de tous genres, imprimés, y.c. les blocs de calendriers à effeuiller")</f>
        <v xml:space="preserve">   Calendriers de tous genres, imprimés, y.c. les blocs de calendriers à effeuiller</v>
      </c>
      <c r="C10371">
        <v>10495</v>
      </c>
      <c r="D10371">
        <v>10</v>
      </c>
    </row>
    <row r="10372" spans="1:4" x14ac:dyDescent="0.25">
      <c r="A10372" t="str">
        <f>T("   491110")</f>
        <v xml:space="preserve">   491110</v>
      </c>
      <c r="B10372" t="str">
        <f>T("   Imprimés publicitaires, catalogues commerciaux et simil.")</f>
        <v xml:space="preserve">   Imprimés publicitaires, catalogues commerciaux et simil.</v>
      </c>
      <c r="C10372">
        <v>3355</v>
      </c>
      <c r="D10372">
        <v>60</v>
      </c>
    </row>
    <row r="10373" spans="1:4" x14ac:dyDescent="0.25">
      <c r="A10373" t="str">
        <f>T("   520300")</f>
        <v xml:space="preserve">   520300</v>
      </c>
      <c r="B10373" t="str">
        <f>T("   Coton, cardé ou peigné")</f>
        <v xml:space="preserve">   Coton, cardé ou peigné</v>
      </c>
      <c r="C10373">
        <v>12569995</v>
      </c>
      <c r="D10373">
        <v>13402</v>
      </c>
    </row>
    <row r="10374" spans="1:4" x14ac:dyDescent="0.25">
      <c r="A10374" t="str">
        <f>T("   560110")</f>
        <v xml:space="preserve">   560110</v>
      </c>
      <c r="B10374" t="str">
        <f>T("   Serviettes et tampons hygiéniques, couches pour bébés et articles hygiéniques simil., en ouates")</f>
        <v xml:space="preserve">   Serviettes et tampons hygiéniques, couches pour bébés et articles hygiéniques simil., en ouates</v>
      </c>
      <c r="C10374">
        <v>22614036</v>
      </c>
      <c r="D10374">
        <v>35824</v>
      </c>
    </row>
    <row r="10375" spans="1:4" x14ac:dyDescent="0.25">
      <c r="A10375" t="str">
        <f>T("   560121")</f>
        <v xml:space="preserve">   560121</v>
      </c>
      <c r="B10375" t="s">
        <v>241</v>
      </c>
      <c r="C10375">
        <v>3100916</v>
      </c>
      <c r="D10375">
        <v>853</v>
      </c>
    </row>
    <row r="10376" spans="1:4" x14ac:dyDescent="0.25">
      <c r="A10376" t="str">
        <f>T("   570330")</f>
        <v xml:space="preserve">   570330</v>
      </c>
      <c r="B10376" t="str">
        <f>T("   Tapis et autres revêtements de sol, de matières textiles synthétiques ou artificielles, touffetés, même confectionnés (à l'excl. des articles en nylon ou en autres polyamides)")</f>
        <v xml:space="preserve">   Tapis et autres revêtements de sol, de matières textiles synthétiques ou artificielles, touffetés, même confectionnés (à l'excl. des articles en nylon ou en autres polyamides)</v>
      </c>
      <c r="C10376">
        <v>655960</v>
      </c>
      <c r="D10376">
        <v>2445</v>
      </c>
    </row>
    <row r="10377" spans="1:4" x14ac:dyDescent="0.25">
      <c r="A10377" t="str">
        <f>T("   610510")</f>
        <v xml:space="preserve">   610510</v>
      </c>
      <c r="B10377" t="str">
        <f>T("   Chemises et chemisettes, en bonneterie, de coton, pour hommes ou garçonnets (sauf chemises de nuit, T-shirts et maillots de corps)")</f>
        <v xml:space="preserve">   Chemises et chemisettes, en bonneterie, de coton, pour hommes ou garçonnets (sauf chemises de nuit, T-shirts et maillots de corps)</v>
      </c>
      <c r="C10377">
        <v>380000</v>
      </c>
      <c r="D10377">
        <v>180</v>
      </c>
    </row>
    <row r="10378" spans="1:4" x14ac:dyDescent="0.25">
      <c r="A10378" t="str">
        <f>T("   610610")</f>
        <v xml:space="preserve">   610610</v>
      </c>
      <c r="B10378" t="str">
        <f>T("   Chemisiers, blouses, blouses-chemisiers et chemisettes, en bonneterie, de coton, pour femmes ou fillettes (sauf T-shirts et gilets de corps)")</f>
        <v xml:space="preserve">   Chemisiers, blouses, blouses-chemisiers et chemisettes, en bonneterie, de coton, pour femmes ou fillettes (sauf T-shirts et gilets de corps)</v>
      </c>
      <c r="C10378">
        <v>380000</v>
      </c>
      <c r="D10378">
        <v>190</v>
      </c>
    </row>
    <row r="10379" spans="1:4" x14ac:dyDescent="0.25">
      <c r="A10379" t="str">
        <f>T("   610729")</f>
        <v xml:space="preserve">   610729</v>
      </c>
      <c r="B10379" t="str">
        <f>T("   Chemises de nuit et pyjamas, en bonneterie, de matières textiles, pour hommes ou garçonnets (sauf de coton, fibres synthétiques ou artificielles et sauf maillots de corps)")</f>
        <v xml:space="preserve">   Chemises de nuit et pyjamas, en bonneterie, de matières textiles, pour hommes ou garçonnets (sauf de coton, fibres synthétiques ou artificielles et sauf maillots de corps)</v>
      </c>
      <c r="C10379">
        <v>380000</v>
      </c>
      <c r="D10379">
        <v>178</v>
      </c>
    </row>
    <row r="10380" spans="1:4" x14ac:dyDescent="0.25">
      <c r="A10380" t="str">
        <f>T("   610910")</f>
        <v xml:space="preserve">   610910</v>
      </c>
      <c r="B10380" t="str">
        <f>T("   T-shirts et maillots de corps, en bonneterie, de coton,")</f>
        <v xml:space="preserve">   T-shirts et maillots de corps, en bonneterie, de coton,</v>
      </c>
      <c r="C10380">
        <v>523930</v>
      </c>
      <c r="D10380">
        <v>19975</v>
      </c>
    </row>
    <row r="10381" spans="1:4" x14ac:dyDescent="0.25">
      <c r="A10381" t="str">
        <f>T("   610990")</f>
        <v xml:space="preserve">   610990</v>
      </c>
      <c r="B10381" t="str">
        <f>T("   T-shirts et maillots de corps, en bonneterie, de matières textiles (sauf de coton)")</f>
        <v xml:space="preserve">   T-shirts et maillots de corps, en bonneterie, de matières textiles (sauf de coton)</v>
      </c>
      <c r="C10381">
        <v>42875</v>
      </c>
      <c r="D10381">
        <v>352</v>
      </c>
    </row>
    <row r="10382" spans="1:4" x14ac:dyDescent="0.25">
      <c r="A10382" t="str">
        <f>T("   620119")</f>
        <v xml:space="preserve">   620119</v>
      </c>
      <c r="B10382" t="str">
        <f>T("   Manteaux, imperméables, cabans, capes et articles simil., de matières textiles, pour hommes ou garçonnets (autres que laine, poils fins, coton, fibres synthétiques ou artificielles et sauf articles en bonneterie)")</f>
        <v xml:space="preserve">   Manteaux, imperméables, cabans, capes et articles simil., de matières textiles, pour hommes ou garçonnets (autres que laine, poils fins, coton, fibres synthétiques ou artificielles et sauf articles en bonneterie)</v>
      </c>
      <c r="C10382">
        <v>49852</v>
      </c>
      <c r="D10382">
        <v>19971</v>
      </c>
    </row>
    <row r="10383" spans="1:4" x14ac:dyDescent="0.25">
      <c r="A10383" t="str">
        <f>T("   620349")</f>
        <v xml:space="preserve">   620349</v>
      </c>
      <c r="B10383" t="s">
        <v>268</v>
      </c>
      <c r="C10383">
        <v>3465221</v>
      </c>
      <c r="D10383">
        <v>2000</v>
      </c>
    </row>
    <row r="10384" spans="1:4" x14ac:dyDescent="0.25">
      <c r="A10384" t="str">
        <f>T("   620429")</f>
        <v xml:space="preserve">   620429</v>
      </c>
      <c r="B10384" t="str">
        <f>T("   Ensembles de matières textiles, pour femmes ou fillettes (autres que laine, poils fins, coton ou fibres synthétiques, autres qu'en bonneterie et sauf, ensembles de ski et vêtements de bain)")</f>
        <v xml:space="preserve">   Ensembles de matières textiles, pour femmes ou fillettes (autres que laine, poils fins, coton ou fibres synthétiques, autres qu'en bonneterie et sauf, ensembles de ski et vêtements de bain)</v>
      </c>
      <c r="C10384">
        <v>280000</v>
      </c>
      <c r="D10384">
        <v>126</v>
      </c>
    </row>
    <row r="10385" spans="1:4" x14ac:dyDescent="0.25">
      <c r="A10385" t="str">
        <f>T("   620469")</f>
        <v xml:space="preserve">   620469</v>
      </c>
      <c r="B10385" t="s">
        <v>269</v>
      </c>
      <c r="C10385">
        <v>18694</v>
      </c>
      <c r="D10385">
        <v>60</v>
      </c>
    </row>
    <row r="10386" spans="1:4" x14ac:dyDescent="0.25">
      <c r="A10386" t="str">
        <f>T("   630533")</f>
        <v xml:space="preserve">   630533</v>
      </c>
      <c r="B10386" t="str">
        <f>T("   Sacs et sachets d'emballage obtenus à partir de lames ou formes simil., de polyéthylène ou polypropylène (à l'excl. des contenants souples pour matières en vrac)")</f>
        <v xml:space="preserve">   Sacs et sachets d'emballage obtenus à partir de lames ou formes simil., de polyéthylène ou polypropylène (à l'excl. des contenants souples pour matières en vrac)</v>
      </c>
      <c r="C10386">
        <v>1088894</v>
      </c>
      <c r="D10386">
        <v>1190</v>
      </c>
    </row>
    <row r="10387" spans="1:4" x14ac:dyDescent="0.25">
      <c r="A10387" t="str">
        <f>T("   630900")</f>
        <v xml:space="preserve">   630900</v>
      </c>
      <c r="B10387" t="s">
        <v>280</v>
      </c>
      <c r="C10387">
        <v>12175000</v>
      </c>
      <c r="D10387">
        <v>22000</v>
      </c>
    </row>
    <row r="10388" spans="1:4" x14ac:dyDescent="0.25">
      <c r="A10388" t="str">
        <f>T("   640320")</f>
        <v xml:space="preserve">   640320</v>
      </c>
      <c r="B10388" t="str">
        <f>T("   Chaussures à semelles extérieures en cuir naturel et dessus constitués de lanières en cuir naturel passant sur le cou-de-pied et entourant le gros orteil")</f>
        <v xml:space="preserve">   Chaussures à semelles extérieures en cuir naturel et dessus constitués de lanières en cuir naturel passant sur le cou-de-pied et entourant le gros orteil</v>
      </c>
      <c r="C10388">
        <v>1549259</v>
      </c>
      <c r="D10388">
        <v>100</v>
      </c>
    </row>
    <row r="10389" spans="1:4" x14ac:dyDescent="0.25">
      <c r="A10389" t="str">
        <f>T("   660199")</f>
        <v xml:space="preserve">   660199</v>
      </c>
      <c r="B10389" t="str">
        <f>T("   Parapluies, y.c. les parapluies-cannes et ombrelles (sauf parapluies et ombrelles à mât ou à manche télescopique, parasols de jardin et articles simil. et sauf jouets d'enfants)")</f>
        <v xml:space="preserve">   Parapluies, y.c. les parapluies-cannes et ombrelles (sauf parapluies et ombrelles à mât ou à manche télescopique, parasols de jardin et articles simil. et sauf jouets d'enfants)</v>
      </c>
      <c r="C10389">
        <v>45538</v>
      </c>
      <c r="D10389">
        <v>19971</v>
      </c>
    </row>
    <row r="10390" spans="1:4" x14ac:dyDescent="0.25">
      <c r="A10390" t="str">
        <f>T("   700991")</f>
        <v xml:space="preserve">   700991</v>
      </c>
      <c r="B10390" t="str">
        <f>T("   Miroirs en verre non encadrés (sauf miroirs rétroviseurs pour véhicules, miroirs optiques, optiquement travaillés et miroirs de plus de 100 ans)")</f>
        <v xml:space="preserve">   Miroirs en verre non encadrés (sauf miroirs rétroviseurs pour véhicules, miroirs optiques, optiquement travaillés et miroirs de plus de 100 ans)</v>
      </c>
      <c r="C10390">
        <v>5251458</v>
      </c>
      <c r="D10390">
        <v>1030</v>
      </c>
    </row>
    <row r="10391" spans="1:4" x14ac:dyDescent="0.25">
      <c r="A10391" t="str">
        <f>T("   700992")</f>
        <v xml:space="preserve">   700992</v>
      </c>
      <c r="B10391" t="str">
        <f>T("   Miroirs, en verre encadrés (sauf miroirs rétroviseurs pour véhicules)")</f>
        <v xml:space="preserve">   Miroirs, en verre encadrés (sauf miroirs rétroviseurs pour véhicules)</v>
      </c>
      <c r="C10391">
        <v>2083569</v>
      </c>
      <c r="D10391">
        <v>2865</v>
      </c>
    </row>
    <row r="10392" spans="1:4" x14ac:dyDescent="0.25">
      <c r="A10392" t="str">
        <f>T("   701329")</f>
        <v xml:space="preserve">   701329</v>
      </c>
      <c r="B10392" t="str">
        <f>T("   Verres à boire (autres qu'en vitrocérame, autres qu'en cristal au plomb)")</f>
        <v xml:space="preserve">   Verres à boire (autres qu'en vitrocérame, autres qu'en cristal au plomb)</v>
      </c>
      <c r="C10392">
        <v>289048</v>
      </c>
      <c r="D10392">
        <v>18097</v>
      </c>
    </row>
    <row r="10393" spans="1:4" x14ac:dyDescent="0.25">
      <c r="A10393" t="str">
        <f>T("   720299")</f>
        <v xml:space="preserve">   720299</v>
      </c>
      <c r="B10393" t="s">
        <v>335</v>
      </c>
      <c r="C10393">
        <v>35799673</v>
      </c>
      <c r="D10393">
        <v>101896</v>
      </c>
    </row>
    <row r="10394" spans="1:4" x14ac:dyDescent="0.25">
      <c r="A10394" t="str">
        <f>T("   721399")</f>
        <v xml:space="preserve">   721399</v>
      </c>
      <c r="B10394" t="s">
        <v>338</v>
      </c>
      <c r="C10394">
        <v>1277297775</v>
      </c>
      <c r="D10394">
        <v>3388200</v>
      </c>
    </row>
    <row r="10395" spans="1:4" x14ac:dyDescent="0.25">
      <c r="A10395" t="str">
        <f>T("   721420")</f>
        <v xml:space="preserve">   721420</v>
      </c>
      <c r="B10395" t="str">
        <f>T("   BARRES EN FER OU EN ACIERS NON ALLIÉS, COMPORTANT DES INDENTATIONS, BOURRELETS, CREUX OU RELIEFS OBTENUS AU COURS DU LAMINAGE OU AYANT SUBI UNE TORSION APRÈS LAMINAGE")</f>
        <v xml:space="preserve">   BARRES EN FER OU EN ACIERS NON ALLIÉS, COMPORTANT DES INDENTATIONS, BOURRELETS, CREUX OU RELIEFS OBTENUS AU COURS DU LAMINAGE OU AYANT SUBI UNE TORSION APRÈS LAMINAGE</v>
      </c>
      <c r="C10395">
        <v>192403422</v>
      </c>
      <c r="D10395">
        <v>700970</v>
      </c>
    </row>
    <row r="10396" spans="1:4" x14ac:dyDescent="0.25">
      <c r="A10396" t="str">
        <f>T("   721499")</f>
        <v xml:space="preserve">   721499</v>
      </c>
      <c r="B10396" t="s">
        <v>341</v>
      </c>
      <c r="C10396">
        <v>65499693</v>
      </c>
      <c r="D10396">
        <v>147165</v>
      </c>
    </row>
    <row r="10397" spans="1:4" x14ac:dyDescent="0.25">
      <c r="A10397" t="str">
        <f>T("   721610")</f>
        <v xml:space="preserve">   721610</v>
      </c>
      <c r="B10397" t="str">
        <f>T("   PROFILÉS U, I OU H EN FER OU EN ACIERS NON ALLIÉS, SIMPLEMENT LAMINÉS OU FILÉS À CHAUD, HAUTEUR &lt; 80 MM")</f>
        <v xml:space="preserve">   PROFILÉS U, I OU H EN FER OU EN ACIERS NON ALLIÉS, SIMPLEMENT LAMINÉS OU FILÉS À CHAUD, HAUTEUR &lt; 80 MM</v>
      </c>
      <c r="C10397">
        <v>45891617</v>
      </c>
      <c r="D10397">
        <v>107420</v>
      </c>
    </row>
    <row r="10398" spans="1:4" x14ac:dyDescent="0.25">
      <c r="A10398" t="str">
        <f>T("   721621")</f>
        <v xml:space="preserve">   721621</v>
      </c>
      <c r="B10398" t="str">
        <f>T("   PROFILÉS EN L EN FER OU ACIERS NON ALLIÉS, SIMPLEMENT LAMINÉS OU FILÉS À CHAUD, HAUTEUR &lt; 80 MM")</f>
        <v xml:space="preserve">   PROFILÉS EN L EN FER OU ACIERS NON ALLIÉS, SIMPLEMENT LAMINÉS OU FILÉS À CHAUD, HAUTEUR &lt; 80 MM</v>
      </c>
      <c r="C10398">
        <v>27728760</v>
      </c>
      <c r="D10398">
        <v>90060</v>
      </c>
    </row>
    <row r="10399" spans="1:4" x14ac:dyDescent="0.25">
      <c r="A10399" t="str">
        <f>T("   721631")</f>
        <v xml:space="preserve">   721631</v>
      </c>
      <c r="B10399" t="str">
        <f>T("   PROFILÉS EN U, EN FER OU EN ACIERS NON-ALLIÉS, SIMPL. LAMINÉS OU FILÉS À CHAUD, D'UNE HAUTEUR &gt;= 80 MM")</f>
        <v xml:space="preserve">   PROFILÉS EN U, EN FER OU EN ACIERS NON-ALLIÉS, SIMPL. LAMINÉS OU FILÉS À CHAUD, D'UNE HAUTEUR &gt;= 80 MM</v>
      </c>
      <c r="C10399">
        <v>9044377</v>
      </c>
      <c r="D10399">
        <v>26910</v>
      </c>
    </row>
    <row r="10400" spans="1:4" x14ac:dyDescent="0.25">
      <c r="A10400" t="str">
        <f>T("   721650")</f>
        <v xml:space="preserve">   721650</v>
      </c>
      <c r="B10400" t="str">
        <f>T("   PROFILÉS, EN FER OU EN ACIERS NON-ALLIÉS, SIMPL. LAMINÉS OU FILÉS À CHAUD (À L'EXCL. DES PROFILÉS EN U, EN I, EN H, EN L OU EN T)")</f>
        <v xml:space="preserve">   PROFILÉS, EN FER OU EN ACIERS NON-ALLIÉS, SIMPL. LAMINÉS OU FILÉS À CHAUD (À L'EXCL. DES PROFILÉS EN U, EN I, EN H, EN L OU EN T)</v>
      </c>
      <c r="C10400">
        <v>18412839</v>
      </c>
      <c r="D10400">
        <v>152146</v>
      </c>
    </row>
    <row r="10401" spans="1:4" x14ac:dyDescent="0.25">
      <c r="A10401" t="str">
        <f>T("   730820")</f>
        <v xml:space="preserve">   730820</v>
      </c>
      <c r="B10401" t="str">
        <f>T("   Tours et pylônes, en fer ou en acier")</f>
        <v xml:space="preserve">   Tours et pylônes, en fer ou en acier</v>
      </c>
      <c r="C10401">
        <v>28080930</v>
      </c>
      <c r="D10401">
        <v>6913</v>
      </c>
    </row>
    <row r="10402" spans="1:4" x14ac:dyDescent="0.25">
      <c r="A10402" t="str">
        <f>T("   732190")</f>
        <v xml:space="preserve">   732190</v>
      </c>
      <c r="B10402" t="str">
        <f>T("   Parties des appareils ménagers chauffants non-électriques du n° 7321, n.d.a.")</f>
        <v xml:space="preserve">   Parties des appareils ménagers chauffants non-électriques du n° 7321, n.d.a.</v>
      </c>
      <c r="C10402">
        <v>1852431</v>
      </c>
      <c r="D10402">
        <v>155</v>
      </c>
    </row>
    <row r="10403" spans="1:4" x14ac:dyDescent="0.25">
      <c r="A10403" t="str">
        <f>T("   732490")</f>
        <v xml:space="preserve">   732490</v>
      </c>
      <c r="B10403" t="s">
        <v>363</v>
      </c>
      <c r="C10403">
        <v>291924</v>
      </c>
      <c r="D10403">
        <v>1500</v>
      </c>
    </row>
    <row r="10404" spans="1:4" x14ac:dyDescent="0.25">
      <c r="A10404" t="str">
        <f>T("   732690")</f>
        <v xml:space="preserve">   732690</v>
      </c>
      <c r="B10404" t="str">
        <f>T("   Ouvrages en fer ou en acier, n.d.a. (autres que moulés, ainsi que forgés ou estampés mais non autrement travaillés ou en fils de fer ou d'acier)")</f>
        <v xml:space="preserve">   Ouvrages en fer ou en acier, n.d.a. (autres que moulés, ainsi que forgés ou estampés mais non autrement travaillés ou en fils de fer ou d'acier)</v>
      </c>
      <c r="C10404">
        <v>713752</v>
      </c>
      <c r="D10404">
        <v>19975</v>
      </c>
    </row>
    <row r="10405" spans="1:4" x14ac:dyDescent="0.25">
      <c r="A10405" t="str">
        <f>T("   761090")</f>
        <v xml:space="preserve">   761090</v>
      </c>
      <c r="B10405" t="str">
        <f>T("   Constructions et parties de constructions, en aluminium, n.d.a., ainsi que tôles, barres, profilés, tubes, tuyaux et simil., en aluminium, n.d.a; (sauf constructions préfabriquées du n° 9406, portes, fenêtres et leurs cadres, chambranles et seuils)")</f>
        <v xml:space="preserve">   Constructions et parties de constructions, en aluminium, n.d.a., ainsi que tôles, barres, profilés, tubes, tuyaux et simil., en aluminium, n.d.a; (sauf constructions préfabriquées du n° 9406, portes, fenêtres et leurs cadres, chambranles et seuils)</v>
      </c>
      <c r="C10405">
        <v>9553506</v>
      </c>
      <c r="D10405">
        <v>14851</v>
      </c>
    </row>
    <row r="10406" spans="1:4" x14ac:dyDescent="0.25">
      <c r="A10406" t="str">
        <f>T("   820559")</f>
        <v xml:space="preserve">   820559</v>
      </c>
      <c r="B10406" t="str">
        <f>T("   Outils à main, y.c. -les diamants de vitrier-, en métaux communs, n.d.a.")</f>
        <v xml:space="preserve">   Outils à main, y.c. -les diamants de vitrier-, en métaux communs, n.d.a.</v>
      </c>
      <c r="C10406">
        <v>4218</v>
      </c>
      <c r="D10406">
        <v>3</v>
      </c>
    </row>
    <row r="10407" spans="1:4" x14ac:dyDescent="0.25">
      <c r="A10407" t="str">
        <f>T("   821220")</f>
        <v xml:space="preserve">   821220</v>
      </c>
      <c r="B10407" t="str">
        <f>T("   LAMES DE RASOIRS DE S¹RETÉ, EN MÉTAUX COMMUNS, Y.C. LES ÉBAUCHES EN BANDES")</f>
        <v xml:space="preserve">   LAMES DE RASOIRS DE S¹RETÉ, EN MÉTAUX COMMUNS, Y.C. LES ÉBAUCHES EN BANDES</v>
      </c>
      <c r="C10407">
        <v>190302</v>
      </c>
      <c r="D10407">
        <v>459</v>
      </c>
    </row>
    <row r="10408" spans="1:4" x14ac:dyDescent="0.25">
      <c r="A10408" t="str">
        <f>T("   841221")</f>
        <v xml:space="preserve">   841221</v>
      </c>
      <c r="B10408" t="str">
        <f>T("   Moteurs hydrauliques à mouvement rectiligne -cylindres-")</f>
        <v xml:space="preserve">   Moteurs hydrauliques à mouvement rectiligne -cylindres-</v>
      </c>
      <c r="C10408">
        <v>1739075</v>
      </c>
      <c r="D10408">
        <v>158</v>
      </c>
    </row>
    <row r="10409" spans="1:4" x14ac:dyDescent="0.25">
      <c r="A10409" t="str">
        <f>T("   841610")</f>
        <v xml:space="preserve">   841610</v>
      </c>
      <c r="B10409" t="str">
        <f>T("   Brûleurs pour foyers à combustibles liquides")</f>
        <v xml:space="preserve">   Brûleurs pour foyers à combustibles liquides</v>
      </c>
      <c r="C10409">
        <v>4629484</v>
      </c>
      <c r="D10409">
        <v>970</v>
      </c>
    </row>
    <row r="10410" spans="1:4" x14ac:dyDescent="0.25">
      <c r="A10410" t="str">
        <f>T("   841810")</f>
        <v xml:space="preserve">   841810</v>
      </c>
      <c r="B10410" t="str">
        <f>T("   Réfrigérateurs et congélateurs-conservateurs combinés, avec portes extérieures séparées")</f>
        <v xml:space="preserve">   Réfrigérateurs et congélateurs-conservateurs combinés, avec portes extérieures séparées</v>
      </c>
      <c r="C10410">
        <v>7905761</v>
      </c>
      <c r="D10410">
        <v>5400</v>
      </c>
    </row>
    <row r="10411" spans="1:4" x14ac:dyDescent="0.25">
      <c r="A10411" t="str">
        <f>T("   841829")</f>
        <v xml:space="preserve">   841829</v>
      </c>
      <c r="B10411" t="str">
        <f>T("   Réfrigérateurs ménagers à absorption, non-électriques")</f>
        <v xml:space="preserve">   Réfrigérateurs ménagers à absorption, non-électriques</v>
      </c>
      <c r="C10411">
        <v>600529</v>
      </c>
      <c r="D10411">
        <v>440</v>
      </c>
    </row>
    <row r="10412" spans="1:4" x14ac:dyDescent="0.25">
      <c r="A10412" t="str">
        <f>T("   841840")</f>
        <v xml:space="preserve">   841840</v>
      </c>
      <c r="B10412" t="str">
        <f>T("   Meubles congélateurs-conservateurs du type armoire, capacité &lt;= 900 l")</f>
        <v xml:space="preserve">   Meubles congélateurs-conservateurs du type armoire, capacité &lt;= 900 l</v>
      </c>
      <c r="C10412">
        <v>7856433</v>
      </c>
      <c r="D10412">
        <v>5328</v>
      </c>
    </row>
    <row r="10413" spans="1:4" x14ac:dyDescent="0.25">
      <c r="A10413" t="str">
        <f>T("   841850")</f>
        <v xml:space="preserve">   841850</v>
      </c>
      <c r="B10413" t="s">
        <v>400</v>
      </c>
      <c r="C10413">
        <v>136135</v>
      </c>
      <c r="D10413">
        <v>150</v>
      </c>
    </row>
    <row r="10414" spans="1:4" x14ac:dyDescent="0.25">
      <c r="A10414" t="str">
        <f>T("   842121")</f>
        <v xml:space="preserve">   842121</v>
      </c>
      <c r="B10414" t="str">
        <f>T("   Appareils pour la filtration ou l'épuration des eaux")</f>
        <v xml:space="preserve">   Appareils pour la filtration ou l'épuration des eaux</v>
      </c>
      <c r="C10414">
        <v>450645</v>
      </c>
      <c r="D10414">
        <v>80</v>
      </c>
    </row>
    <row r="10415" spans="1:4" x14ac:dyDescent="0.25">
      <c r="A10415" t="str">
        <f>T("   842199")</f>
        <v xml:space="preserve">   842199</v>
      </c>
      <c r="B10415" t="str">
        <f>T("   Parties d'appareils pour la filtration ou l'épuration des liquides ou des gaz, n.d.a.")</f>
        <v xml:space="preserve">   Parties d'appareils pour la filtration ou l'épuration des liquides ou des gaz, n.d.a.</v>
      </c>
      <c r="C10415">
        <v>624873</v>
      </c>
      <c r="D10415">
        <v>1</v>
      </c>
    </row>
    <row r="10416" spans="1:4" x14ac:dyDescent="0.25">
      <c r="A10416" t="str">
        <f>T("   842611")</f>
        <v xml:space="preserve">   842611</v>
      </c>
      <c r="B10416" t="str">
        <f>T("   Ponts roulants et poutres roulantes sur supports fixes")</f>
        <v xml:space="preserve">   Ponts roulants et poutres roulantes sur supports fixes</v>
      </c>
      <c r="C10416">
        <v>117416840</v>
      </c>
      <c r="D10416">
        <v>86589</v>
      </c>
    </row>
    <row r="10417" spans="1:4" x14ac:dyDescent="0.25">
      <c r="A10417" t="str">
        <f>T("   843210")</f>
        <v xml:space="preserve">   843210</v>
      </c>
      <c r="B10417" t="str">
        <f>T("   Charrues pour l'agriculture, la sylviculture ou l'horticulture")</f>
        <v xml:space="preserve">   Charrues pour l'agriculture, la sylviculture ou l'horticulture</v>
      </c>
      <c r="C10417">
        <v>1419373</v>
      </c>
      <c r="D10417">
        <v>925</v>
      </c>
    </row>
    <row r="10418" spans="1:4" x14ac:dyDescent="0.25">
      <c r="A10418" t="str">
        <f>T("   843840")</f>
        <v xml:space="preserve">   843840</v>
      </c>
      <c r="B10418" t="str">
        <f>T("   Machines et appareils pour la brasserie (sauf centrifugeuses et sauf appareils de filtrage, appareils thermiques et appareils de refroidissement)")</f>
        <v xml:space="preserve">   Machines et appareils pour la brasserie (sauf centrifugeuses et sauf appareils de filtrage, appareils thermiques et appareils de refroidissement)</v>
      </c>
      <c r="C10418">
        <v>471660</v>
      </c>
      <c r="D10418">
        <v>1</v>
      </c>
    </row>
    <row r="10419" spans="1:4" x14ac:dyDescent="0.25">
      <c r="A10419" t="str">
        <f>T("   843890")</f>
        <v xml:space="preserve">   843890</v>
      </c>
      <c r="B10419" t="str">
        <f>T("   Parties des machines et appareils pour le traitement, la préparation ou la fabrication industriels d'aliments ou de boissons, n.d.a.")</f>
        <v xml:space="preserve">   Parties des machines et appareils pour le traitement, la préparation ou la fabrication industriels d'aliments ou de boissons, n.d.a.</v>
      </c>
      <c r="C10419">
        <v>3163545</v>
      </c>
      <c r="D10419">
        <v>3</v>
      </c>
    </row>
    <row r="10420" spans="1:4" x14ac:dyDescent="0.25">
      <c r="A10420" t="str">
        <f>T("   846722")</f>
        <v xml:space="preserve">   846722</v>
      </c>
      <c r="B10420" t="str">
        <f>T("   Scies et tronçonneuses, à moteur électrique incorporé, pour emploi à la main")</f>
        <v xml:space="preserve">   Scies et tronçonneuses, à moteur électrique incorporé, pour emploi à la main</v>
      </c>
      <c r="C10420">
        <v>1655643</v>
      </c>
      <c r="D10420">
        <v>675</v>
      </c>
    </row>
    <row r="10421" spans="1:4" x14ac:dyDescent="0.25">
      <c r="A10421" t="str">
        <f>T("   848180")</f>
        <v xml:space="preserve">   848180</v>
      </c>
      <c r="B10421" t="str">
        <f>T("   Articles de robinetterie et organes simil. pour tuyauteries, etc. (à l'excl. des détendeurs, valves pour transmissions oléohydrauliques ou pneumatiques, clapets et soupapes de retenue et sauf soupapes de trop-plein ou de sûreté)")</f>
        <v xml:space="preserve">   Articles de robinetterie et organes simil. pour tuyauteries, etc. (à l'excl. des détendeurs, valves pour transmissions oléohydrauliques ou pneumatiques, clapets et soupapes de retenue et sauf soupapes de trop-plein ou de sûreté)</v>
      </c>
      <c r="C10421">
        <v>10227447</v>
      </c>
      <c r="D10421">
        <v>2195</v>
      </c>
    </row>
    <row r="10422" spans="1:4" x14ac:dyDescent="0.25">
      <c r="A10422" t="str">
        <f>T("   848490")</f>
        <v xml:space="preserve">   848490</v>
      </c>
      <c r="B10422" t="str">
        <f>T("   Jeux ou assortiments de joints de composition différente présentés en pochettes, enveloppes ou emballages analogues")</f>
        <v xml:space="preserve">   Jeux ou assortiments de joints de composition différente présentés en pochettes, enveloppes ou emballages analogues</v>
      </c>
      <c r="C10422">
        <v>1972297</v>
      </c>
      <c r="D10422">
        <v>2</v>
      </c>
    </row>
    <row r="10423" spans="1:4" x14ac:dyDescent="0.25">
      <c r="A10423" t="str">
        <f>T("   851660")</f>
        <v xml:space="preserve">   851660</v>
      </c>
      <c r="B10423" t="str">
        <f>T("   Fours, cuisinières, réchauds, tables de cuisson, grils et rôtissoires électriques, pour usages domestiques (sauf fours destinés au chauffage des locaux et fours à micro-ondes)")</f>
        <v xml:space="preserve">   Fours, cuisinières, réchauds, tables de cuisson, grils et rôtissoires électriques, pour usages domestiques (sauf fours destinés au chauffage des locaux et fours à micro-ondes)</v>
      </c>
      <c r="C10423">
        <v>35218912</v>
      </c>
      <c r="D10423">
        <v>30123</v>
      </c>
    </row>
    <row r="10424" spans="1:4" x14ac:dyDescent="0.25">
      <c r="A10424" t="str">
        <f>T("   853590")</f>
        <v xml:space="preserve">   853590</v>
      </c>
      <c r="B10424" t="s">
        <v>468</v>
      </c>
      <c r="C10424">
        <v>1436253</v>
      </c>
      <c r="D10424">
        <v>200</v>
      </c>
    </row>
    <row r="10425" spans="1:4" x14ac:dyDescent="0.25">
      <c r="A10425" t="str">
        <f>T("   853650")</f>
        <v xml:space="preserve">   853650</v>
      </c>
      <c r="B10425" t="str">
        <f>T("   Interrupteurs, sectionneurs et commutateurs, pour une tension &lt;= 1.000 V (autres que relais et disjoncteurs)")</f>
        <v xml:space="preserve">   Interrupteurs, sectionneurs et commutateurs, pour une tension &lt;= 1.000 V (autres que relais et disjoncteurs)</v>
      </c>
      <c r="C10425">
        <v>3847861</v>
      </c>
      <c r="D10425">
        <v>3815</v>
      </c>
    </row>
    <row r="10426" spans="1:4" x14ac:dyDescent="0.25">
      <c r="A10426" t="str">
        <f>T("   853669")</f>
        <v xml:space="preserve">   853669</v>
      </c>
      <c r="B10426" t="str">
        <f>T("   Fiches et prises de courant, pour une tension &lt;= 1.000 V (sauf douilles pour lampes)")</f>
        <v xml:space="preserve">   Fiches et prises de courant, pour une tension &lt;= 1.000 V (sauf douilles pour lampes)</v>
      </c>
      <c r="C10426">
        <v>4360000</v>
      </c>
      <c r="D10426">
        <v>27520</v>
      </c>
    </row>
    <row r="10427" spans="1:4" x14ac:dyDescent="0.25">
      <c r="A10427" t="str">
        <f>T("   853720")</f>
        <v xml:space="preserve">   853720</v>
      </c>
      <c r="B10427" t="str">
        <f>T("   Tableaux, armoires et combinaisons d'appareils simil., pour la commande ou la distribution électrique, pour une tension &gt; 1.000 V")</f>
        <v xml:space="preserve">   Tableaux, armoires et combinaisons d'appareils simil., pour la commande ou la distribution électrique, pour une tension &gt; 1.000 V</v>
      </c>
      <c r="C10427">
        <v>21572538</v>
      </c>
      <c r="D10427">
        <v>2500</v>
      </c>
    </row>
    <row r="10428" spans="1:4" x14ac:dyDescent="0.25">
      <c r="A10428" t="str">
        <f>T("   854140")</f>
        <v xml:space="preserve">   854140</v>
      </c>
      <c r="B10428" t="str">
        <f>T("   Dispositifs photosensibles à semi-conducteur, y.c. les cellules photovoltaïques même assemblées en modules ou constituées en panneaux; diodes émettrices de lumière (sauf génératrices photovoltaïques)")</f>
        <v xml:space="preserve">   Dispositifs photosensibles à semi-conducteur, y.c. les cellules photovoltaïques même assemblées en modules ou constituées en panneaux; diodes émettrices de lumière (sauf génératrices photovoltaïques)</v>
      </c>
      <c r="C10428">
        <v>850661</v>
      </c>
      <c r="D10428">
        <v>2</v>
      </c>
    </row>
    <row r="10429" spans="1:4" x14ac:dyDescent="0.25">
      <c r="A10429" t="str">
        <f>T("   854449")</f>
        <v xml:space="preserve">   854449</v>
      </c>
      <c r="B10429" t="str">
        <f>T("   CONDUCTEURS ÉLECTRIQUES, POUR TENSION &lt;= 1.000 V, ISOLÉS, SANS PIÈCES DE CONNEXION, N.D.A.")</f>
        <v xml:space="preserve">   CONDUCTEURS ÉLECTRIQUES, POUR TENSION &lt;= 1.000 V, ISOLÉS, SANS PIÈCES DE CONNEXION, N.D.A.</v>
      </c>
      <c r="C10429">
        <v>23338576</v>
      </c>
      <c r="D10429">
        <v>48657</v>
      </c>
    </row>
    <row r="10430" spans="1:4" x14ac:dyDescent="0.25">
      <c r="A10430" t="str">
        <f>T("   854590")</f>
        <v xml:space="preserve">   854590</v>
      </c>
      <c r="B10430" t="str">
        <f>T("   Articles en graphite ou en autre carbone, pour usages électriques (autres qu'électrodes et balais)")</f>
        <v xml:space="preserve">   Articles en graphite ou en autre carbone, pour usages électriques (autres qu'électrodes et balais)</v>
      </c>
      <c r="C10430">
        <v>247503</v>
      </c>
      <c r="D10430">
        <v>2</v>
      </c>
    </row>
    <row r="10431" spans="1:4" x14ac:dyDescent="0.25">
      <c r="A10431" t="str">
        <f>T("   871200")</f>
        <v xml:space="preserve">   871200</v>
      </c>
      <c r="B10431" t="str">
        <f>T("   BICYCLETTES ET AUTRES CYCLES, -Y.C. LES TRIPORTEURS-, SANS MOTEUR")</f>
        <v xml:space="preserve">   BICYCLETTES ET AUTRES CYCLES, -Y.C. LES TRIPORTEURS-, SANS MOTEUR</v>
      </c>
      <c r="C10431">
        <v>6191970</v>
      </c>
      <c r="D10431">
        <v>8495</v>
      </c>
    </row>
    <row r="10432" spans="1:4" x14ac:dyDescent="0.25">
      <c r="A10432" t="str">
        <f>T("   871620")</f>
        <v xml:space="preserve">   871620</v>
      </c>
      <c r="B10432" t="str">
        <f>T("   Remorques et semi-remorques autochargeuses ou autodéchargeuses, pour usages agricoles")</f>
        <v xml:space="preserve">   Remorques et semi-remorques autochargeuses ou autodéchargeuses, pour usages agricoles</v>
      </c>
      <c r="C10432">
        <v>2993985</v>
      </c>
      <c r="D10432">
        <v>925</v>
      </c>
    </row>
    <row r="10433" spans="1:4" x14ac:dyDescent="0.25">
      <c r="A10433" t="str">
        <f>T("   901819")</f>
        <v xml:space="preserve">   901819</v>
      </c>
      <c r="B10433" t="s">
        <v>497</v>
      </c>
      <c r="C10433">
        <v>3403121</v>
      </c>
      <c r="D10433">
        <v>728</v>
      </c>
    </row>
    <row r="10434" spans="1:4" x14ac:dyDescent="0.25">
      <c r="A10434" t="str">
        <f>T("   901890")</f>
        <v xml:space="preserve">   901890</v>
      </c>
      <c r="B10434" t="str">
        <f>T("   Instruments et appareils pour la médecine, la chirurgie ou l'art vétérinaire, n.d.a.")</f>
        <v xml:space="preserve">   Instruments et appareils pour la médecine, la chirurgie ou l'art vétérinaire, n.d.a.</v>
      </c>
      <c r="C10434">
        <v>3189277</v>
      </c>
      <c r="D10434">
        <v>484</v>
      </c>
    </row>
    <row r="10435" spans="1:4" x14ac:dyDescent="0.25">
      <c r="A10435" t="str">
        <f>T("   903289")</f>
        <v xml:space="preserve">   903289</v>
      </c>
      <c r="B10435" t="s">
        <v>503</v>
      </c>
      <c r="C10435">
        <v>6307908</v>
      </c>
      <c r="D10435">
        <v>1155</v>
      </c>
    </row>
    <row r="10436" spans="1:4" x14ac:dyDescent="0.25">
      <c r="A10436" t="str">
        <f>T("   903300")</f>
        <v xml:space="preserve">   903300</v>
      </c>
      <c r="B10436" t="str">
        <f>T("   Parties et accessoires pour machines, appareils, instruments ou articles du chapitre 90, non dénommés ni compris dans le présent chapitre ou ailleurs")</f>
        <v xml:space="preserve">   Parties et accessoires pour machines, appareils, instruments ou articles du chapitre 90, non dénommés ni compris dans le présent chapitre ou ailleurs</v>
      </c>
      <c r="C10436">
        <v>1911468</v>
      </c>
      <c r="D10436">
        <v>272</v>
      </c>
    </row>
    <row r="10437" spans="1:4" x14ac:dyDescent="0.25">
      <c r="A10437" t="str">
        <f>T("   940310")</f>
        <v xml:space="preserve">   940310</v>
      </c>
      <c r="B10437" t="str">
        <f>T("   Meubles de bureau en métal (sauf sièges)")</f>
        <v xml:space="preserve">   Meubles de bureau en métal (sauf sièges)</v>
      </c>
      <c r="C10437">
        <v>9013252</v>
      </c>
      <c r="D10437">
        <v>10010</v>
      </c>
    </row>
    <row r="10438" spans="1:4" x14ac:dyDescent="0.25">
      <c r="A10438" t="str">
        <f>T("   940320")</f>
        <v xml:space="preserve">   940320</v>
      </c>
      <c r="B10438" t="str">
        <f>T("   Meubles en métal, sauf meubles de bureau, sièges et mobilier pour la médecine, la chirurgie, l'art dentaire ou vétérinaire")</f>
        <v xml:space="preserve">   Meubles en métal, sauf meubles de bureau, sièges et mobilier pour la médecine, la chirurgie, l'art dentaire ou vétérinaire</v>
      </c>
      <c r="C10438">
        <v>10297261</v>
      </c>
      <c r="D10438">
        <v>13309</v>
      </c>
    </row>
    <row r="10439" spans="1:4" x14ac:dyDescent="0.25">
      <c r="A10439" t="str">
        <f>T("   940360")</f>
        <v xml:space="preserve">   940360</v>
      </c>
      <c r="B10439" t="str">
        <f>T("   Meubles en bois (autres que pour bureaux, cuisines ou chambres à coucher et autres que sièges)")</f>
        <v xml:space="preserve">   Meubles en bois (autres que pour bureaux, cuisines ou chambres à coucher et autres que sièges)</v>
      </c>
      <c r="C10439">
        <v>18219921</v>
      </c>
      <c r="D10439">
        <v>10019</v>
      </c>
    </row>
    <row r="10440" spans="1:4" x14ac:dyDescent="0.25">
      <c r="A10440" t="str">
        <f>T("   940390")</f>
        <v xml:space="preserve">   940390</v>
      </c>
      <c r="B10440" t="str">
        <f>T("   PARTIES DE MEUBLES, N.D.A. (AUTRES QUE DE SIÈGES ET MOBILIER POUR LA MÉDECINE, L'ART DENTAIRE ET VÉTÉRINAIRE OU LA CHIRURGIE)")</f>
        <v xml:space="preserve">   PARTIES DE MEUBLES, N.D.A. (AUTRES QUE DE SIÈGES ET MOBILIER POUR LA MÉDECINE, L'ART DENTAIRE ET VÉTÉRINAIRE OU LA CHIRURGIE)</v>
      </c>
      <c r="C10440">
        <v>539269</v>
      </c>
      <c r="D10440">
        <v>400</v>
      </c>
    </row>
    <row r="10441" spans="1:4" x14ac:dyDescent="0.25">
      <c r="A10441" t="str">
        <f>T("   940490")</f>
        <v xml:space="preserve">   940490</v>
      </c>
      <c r="B10441" t="s">
        <v>508</v>
      </c>
      <c r="C10441">
        <v>327980</v>
      </c>
      <c r="D10441">
        <v>1000</v>
      </c>
    </row>
    <row r="10442" spans="1:4" x14ac:dyDescent="0.25">
      <c r="A10442" t="str">
        <f>T("   960390")</f>
        <v xml:space="preserve">   960390</v>
      </c>
      <c r="B10442" t="str">
        <f>T("   ARTICLES DE BROSSERIE (SAUF DU N° 9603.10 À 9603.50), P.EX. TÊTES PRÉPARÉES POUR ARTICLES DE BROSSERIE ET RACLETTES EN CAOUTCHOUC OU EN MATIÈRES SOUPLES ANALOGUES")</f>
        <v xml:space="preserve">   ARTICLES DE BROSSERIE (SAUF DU N° 9603.10 À 9603.50), P.EX. TÊTES PRÉPARÉES POUR ARTICLES DE BROSSERIE ET RACLETTES EN CAOUTCHOUC OU EN MATIÈRES SOUPLES ANALOGUES</v>
      </c>
      <c r="C10442">
        <v>4074954</v>
      </c>
      <c r="D10442">
        <v>1416</v>
      </c>
    </row>
    <row r="10443" spans="1:4" x14ac:dyDescent="0.25">
      <c r="A10443" t="str">
        <f>T("   960839")</f>
        <v xml:space="preserve">   960839</v>
      </c>
      <c r="B10443" t="str">
        <f>T("   Stylos à plume et autres stylos (autres qu'à dessiner à l'encre de Chine)")</f>
        <v xml:space="preserve">   Stylos à plume et autres stylos (autres qu'à dessiner à l'encre de Chine)</v>
      </c>
      <c r="C10443">
        <v>10495</v>
      </c>
      <c r="D10443">
        <v>10</v>
      </c>
    </row>
    <row r="10444" spans="1:4" x14ac:dyDescent="0.25">
      <c r="A10444" t="str">
        <f>T("   961800")</f>
        <v xml:space="preserve">   961800</v>
      </c>
      <c r="B10444" t="str">
        <f>T("   Mannequins et articles simil.; automates et scènes animées pour étalages (à l'excl. des modèles utilisés pour l'enseignement, des poupées présentant des caractères de jouet et des marchandises présentées sur ces mannequins)")</f>
        <v xml:space="preserve">   Mannequins et articles simil.; automates et scènes animées pour étalages (à l'excl. des modèles utilisés pour l'enseignement, des poupées présentant des caractères de jouet et des marchandises présentées sur ces mannequins)</v>
      </c>
      <c r="C10444">
        <v>141888</v>
      </c>
      <c r="D10444">
        <v>200</v>
      </c>
    </row>
    <row r="10445" spans="1:4" x14ac:dyDescent="0.25">
      <c r="A10445" t="str">
        <f>T("TT")</f>
        <v>TT</v>
      </c>
      <c r="B10445" t="str">
        <f>T("Trinitad et Tobago")</f>
        <v>Trinitad et Tobago</v>
      </c>
    </row>
    <row r="10446" spans="1:4" x14ac:dyDescent="0.25">
      <c r="A10446" t="str">
        <f>T("   ZZ_Total_Produit_SH6")</f>
        <v xml:space="preserve">   ZZ_Total_Produit_SH6</v>
      </c>
      <c r="B10446" t="str">
        <f>T("   ZZ_Total_Produit_SH6")</f>
        <v xml:space="preserve">   ZZ_Total_Produit_SH6</v>
      </c>
      <c r="C10446">
        <v>48000000</v>
      </c>
      <c r="D10446">
        <v>400000</v>
      </c>
    </row>
    <row r="10447" spans="1:4" x14ac:dyDescent="0.25">
      <c r="A10447" t="str">
        <f>T("   271113")</f>
        <v xml:space="preserve">   271113</v>
      </c>
      <c r="B10447" t="str">
        <f>T("   Butanes, liquéfiés (à l'excl. des butanes d'une pureté &gt;= 95% en n-butane ou en isobutane)")</f>
        <v xml:space="preserve">   Butanes, liquéfiés (à l'excl. des butanes d'une pureté &gt;= 95% en n-butane ou en isobutane)</v>
      </c>
      <c r="C10447">
        <v>48000000</v>
      </c>
      <c r="D10447">
        <v>400000</v>
      </c>
    </row>
    <row r="10448" spans="1:4" x14ac:dyDescent="0.25">
      <c r="A10448" t="str">
        <f>T("TV")</f>
        <v>TV</v>
      </c>
      <c r="B10448" t="str">
        <f>T("Tuvalu")</f>
        <v>Tuvalu</v>
      </c>
    </row>
    <row r="10449" spans="1:4" x14ac:dyDescent="0.25">
      <c r="A10449" t="str">
        <f>T("   ZZ_Total_Produit_SH6")</f>
        <v xml:space="preserve">   ZZ_Total_Produit_SH6</v>
      </c>
      <c r="B10449" t="str">
        <f>T("   ZZ_Total_Produit_SH6")</f>
        <v xml:space="preserve">   ZZ_Total_Produit_SH6</v>
      </c>
      <c r="C10449">
        <v>13351852</v>
      </c>
      <c r="D10449">
        <v>372</v>
      </c>
    </row>
    <row r="10450" spans="1:4" x14ac:dyDescent="0.25">
      <c r="A10450" t="str">
        <f>T("   610459")</f>
        <v xml:space="preserve">   610459</v>
      </c>
      <c r="B10450" t="str">
        <f>T("   Jupes et jupes-culottes, en bonneterie, de matières textiles, pour femmes ou fillettes (sauf de laine, poils fins, coton, fibres synthétiques et sauf jupons)")</f>
        <v xml:space="preserve">   Jupes et jupes-culottes, en bonneterie, de matières textiles, pour femmes ou fillettes (sauf de laine, poils fins, coton, fibres synthétiques et sauf jupons)</v>
      </c>
      <c r="C10450">
        <v>55624</v>
      </c>
      <c r="D10450">
        <v>63</v>
      </c>
    </row>
    <row r="10451" spans="1:4" x14ac:dyDescent="0.25">
      <c r="A10451" t="str">
        <f>T("   610590")</f>
        <v xml:space="preserve">   610590</v>
      </c>
      <c r="B10451" t="str">
        <f>T("   Chemises et chemisettes, en bonneterie, de matières textiles, pour hommes ou garçonnets (sauf de coton, fibres synthétiques ou artificielles et sauf chemises de nuit, T-shirts et maillots de corps)")</f>
        <v xml:space="preserve">   Chemises et chemisettes, en bonneterie, de matières textiles, pour hommes ou garçonnets (sauf de coton, fibres synthétiques ou artificielles et sauf chemises de nuit, T-shirts et maillots de corps)</v>
      </c>
      <c r="C10451">
        <v>58955</v>
      </c>
      <c r="D10451">
        <v>63</v>
      </c>
    </row>
    <row r="10452" spans="1:4" x14ac:dyDescent="0.25">
      <c r="A10452" t="str">
        <f>T("   610990")</f>
        <v xml:space="preserve">   610990</v>
      </c>
      <c r="B10452" t="str">
        <f>T("   T-shirts et maillots de corps, en bonneterie, de matières textiles (sauf de coton)")</f>
        <v xml:space="preserve">   T-shirts et maillots de corps, en bonneterie, de matières textiles (sauf de coton)</v>
      </c>
      <c r="C10452">
        <v>40570</v>
      </c>
      <c r="D10452">
        <v>63</v>
      </c>
    </row>
    <row r="10453" spans="1:4" x14ac:dyDescent="0.25">
      <c r="A10453" t="str">
        <f>T("   620349")</f>
        <v xml:space="preserve">   620349</v>
      </c>
      <c r="B10453" t="s">
        <v>268</v>
      </c>
      <c r="C10453">
        <v>111636</v>
      </c>
      <c r="D10453">
        <v>64</v>
      </c>
    </row>
    <row r="10454" spans="1:4" x14ac:dyDescent="0.25">
      <c r="A10454" t="str">
        <f>T("   851780")</f>
        <v xml:space="preserve">   851780</v>
      </c>
      <c r="B10454" t="s">
        <v>453</v>
      </c>
      <c r="C10454">
        <v>11304962</v>
      </c>
      <c r="D10454">
        <v>63</v>
      </c>
    </row>
    <row r="10455" spans="1:4" x14ac:dyDescent="0.25">
      <c r="A10455" t="str">
        <f>T("   853540")</f>
        <v xml:space="preserve">   853540</v>
      </c>
      <c r="B10455" t="str">
        <f>T("   Parafoudres, limiteurs de tension et étaleurs d'ondes, pour une tension &gt; 1.000 V")</f>
        <v xml:space="preserve">   Parafoudres, limiteurs de tension et étaleurs d'ondes, pour une tension &gt; 1.000 V</v>
      </c>
      <c r="C10455">
        <v>1480105</v>
      </c>
      <c r="D10455">
        <v>9</v>
      </c>
    </row>
    <row r="10456" spans="1:4" x14ac:dyDescent="0.25">
      <c r="A10456" t="str">
        <f>T("   901580")</f>
        <v xml:space="preserve">   901580</v>
      </c>
      <c r="B10456" t="s">
        <v>496</v>
      </c>
      <c r="C10456">
        <v>300000</v>
      </c>
      <c r="D10456">
        <v>47</v>
      </c>
    </row>
    <row r="10457" spans="1:4" x14ac:dyDescent="0.25">
      <c r="A10457" t="str">
        <f>T("TW")</f>
        <v>TW</v>
      </c>
      <c r="B10457" t="str">
        <f>T("Taïwan, Province de Chine")</f>
        <v>Taïwan, Province de Chine</v>
      </c>
    </row>
    <row r="10458" spans="1:4" x14ac:dyDescent="0.25">
      <c r="A10458" t="str">
        <f>T("   ZZ_Total_Produit_SH6")</f>
        <v xml:space="preserve">   ZZ_Total_Produit_SH6</v>
      </c>
      <c r="B10458" t="str">
        <f>T("   ZZ_Total_Produit_SH6")</f>
        <v xml:space="preserve">   ZZ_Total_Produit_SH6</v>
      </c>
      <c r="C10458">
        <v>774233556</v>
      </c>
      <c r="D10458">
        <v>1116622</v>
      </c>
    </row>
    <row r="10459" spans="1:4" x14ac:dyDescent="0.25">
      <c r="A10459" t="str">
        <f>T("   030379")</f>
        <v xml:space="preserve">   030379</v>
      </c>
      <c r="B10459" t="s">
        <v>15</v>
      </c>
      <c r="C10459">
        <v>73125000</v>
      </c>
      <c r="D10459">
        <v>325000</v>
      </c>
    </row>
    <row r="10460" spans="1:4" x14ac:dyDescent="0.25">
      <c r="A10460" t="str">
        <f>T("   200290")</f>
        <v xml:space="preserve">   200290</v>
      </c>
      <c r="B10460" t="str">
        <f>T("   Tomates, préparées ou conservées autrement qu'au vinaigre ou à l'acide acétique (à l'excl. des tomates entières ou en morceaux)")</f>
        <v xml:space="preserve">   Tomates, préparées ou conservées autrement qu'au vinaigre ou à l'acide acétique (à l'excl. des tomates entières ou en morceaux)</v>
      </c>
      <c r="C10460">
        <v>91222702</v>
      </c>
      <c r="D10460">
        <v>224560</v>
      </c>
    </row>
    <row r="10461" spans="1:4" x14ac:dyDescent="0.25">
      <c r="A10461" t="str">
        <f>T("   200919")</f>
        <v xml:space="preserve">   200919</v>
      </c>
      <c r="B10461" t="str">
        <f>T("   JUS D'ORANGE, NON-FERMENTÉS, SANS ADDITION D'ALCOOL, AVEC OU SANS ADDITION DE SUCRE OU D'AUTRES ÉDULCORANTS (À L'EXCL. DES JUS CONGELÉS ET DES JUS D'UNE VALEUR BRIX &lt;= 20 À 20°C)")</f>
        <v xml:space="preserve">   JUS D'ORANGE, NON-FERMENTÉS, SANS ADDITION D'ALCOOL, AVEC OU SANS ADDITION DE SUCRE OU D'AUTRES ÉDULCORANTS (À L'EXCL. DES JUS CONGELÉS ET DES JUS D'UNE VALEUR BRIX &lt;= 20 À 20°C)</v>
      </c>
      <c r="C10461">
        <v>4443114</v>
      </c>
      <c r="D10461">
        <v>16219</v>
      </c>
    </row>
    <row r="10462" spans="1:4" x14ac:dyDescent="0.25">
      <c r="A10462" t="str">
        <f>T("   200949")</f>
        <v xml:space="preserve">   200949</v>
      </c>
      <c r="B10462" t="str">
        <f>T("   JUS D'ANANAS, NON-FERMENTÉS, SANS ADDITION D'ALCOOL, AVEC OU SANS ADDITION DE SUCRE OU D'AUTRES ÉDULCORANTS, D'UNE VALEUR BRIX &gt; 20 À 20°C")</f>
        <v xml:space="preserve">   JUS D'ANANAS, NON-FERMENTÉS, SANS ADDITION D'ALCOOL, AVEC OU SANS ADDITION DE SUCRE OU D'AUTRES ÉDULCORANTS, D'UNE VALEUR BRIX &gt; 20 À 20°C</v>
      </c>
      <c r="C10462">
        <v>3744672</v>
      </c>
      <c r="D10462">
        <v>13536</v>
      </c>
    </row>
    <row r="10463" spans="1:4" x14ac:dyDescent="0.25">
      <c r="A10463" t="str">
        <f>T("   200980")</f>
        <v xml:space="preserve">   200980</v>
      </c>
      <c r="B10463" t="str">
        <f>T("   JUS DE FRUITS OU DE LÉGUMES, NON-FERMENTÉS, SANS ADDITION D'ALCOOL, AVEC OU SANS ADDITION DE SUCRE OU D'AUTRES ÉDULCORANTS (À L'EXCL. DES MÉLANGES AINSI QUE DES JUS D'AGRUMES, D'ANANAS, DE TOMATE, DE RAISIN - Y.C. LES MOÛTS - ET DE POMME)")</f>
        <v xml:space="preserve">   JUS DE FRUITS OU DE LÉGUMES, NON-FERMENTÉS, SANS ADDITION D'ALCOOL, AVEC OU SANS ADDITION DE SUCRE OU D'AUTRES ÉDULCORANTS (À L'EXCL. DES MÉLANGES AINSI QUE DES JUS D'AGRUMES, D'ANANAS, DE TOMATE, DE RAISIN - Y.C. LES MOÛTS - ET DE POMME)</v>
      </c>
      <c r="C10463">
        <v>6338316</v>
      </c>
      <c r="D10463">
        <v>22839</v>
      </c>
    </row>
    <row r="10464" spans="1:4" x14ac:dyDescent="0.25">
      <c r="A10464" t="str">
        <f>T("   200990")</f>
        <v xml:space="preserve">   200990</v>
      </c>
      <c r="B10464" t="str">
        <f>T("   MÉLANGES DE JUS DE FRUITS - Y.C. LES MOÛTS DE RAISIN - ET DE JUS DE LÉGUMES, NON-FERMENTÉS, SANS ADDITION D'ALCOOL, AVEC OU SANS ADDITION DE SUCRE OU D'AUTRES ÉDULCORANTS")</f>
        <v xml:space="preserve">   MÉLANGES DE JUS DE FRUITS - Y.C. LES MOÛTS DE RAISIN - ET DE JUS DE LÉGUMES, NON-FERMENTÉS, SANS ADDITION D'ALCOOL, AVEC OU SANS ADDITION DE SUCRE OU D'AUTRES ÉDULCORANTS</v>
      </c>
      <c r="C10464">
        <v>6809502</v>
      </c>
      <c r="D10464">
        <v>24266</v>
      </c>
    </row>
    <row r="10465" spans="1:4" x14ac:dyDescent="0.25">
      <c r="A10465" t="str">
        <f>T("   220290")</f>
        <v xml:space="preserve">   220290</v>
      </c>
      <c r="B10465" t="str">
        <f>T("   BOISSONS NON-ALCOOLIQUES (À L'EXCL. DES EAUX, DES JUS DE FRUITS OU DE LÉGUMES AINSI QUE DU LAIT)")</f>
        <v xml:space="preserve">   BOISSONS NON-ALCOOLIQUES (À L'EXCL. DES EAUX, DES JUS DE FRUITS OU DE LÉGUMES AINSI QUE DU LAIT)</v>
      </c>
      <c r="C10465">
        <v>12193399</v>
      </c>
      <c r="D10465">
        <v>45823</v>
      </c>
    </row>
    <row r="10466" spans="1:4" x14ac:dyDescent="0.25">
      <c r="A10466" t="str">
        <f>T("   381400")</f>
        <v xml:space="preserve">   381400</v>
      </c>
      <c r="B10466" t="str">
        <f>T("   Solvants et diluants organiques composites, n.d.a.; préparations conçues pour enlever les peintures ou les vernis (à l'excl. des dissolvants pour vernis à ongles)")</f>
        <v xml:space="preserve">   Solvants et diluants organiques composites, n.d.a.; préparations conçues pour enlever les peintures ou les vernis (à l'excl. des dissolvants pour vernis à ongles)</v>
      </c>
      <c r="C10466">
        <v>288089</v>
      </c>
      <c r="D10466">
        <v>128</v>
      </c>
    </row>
    <row r="10467" spans="1:4" x14ac:dyDescent="0.25">
      <c r="A10467" t="str">
        <f>T("   391990")</f>
        <v xml:space="preserve">   391990</v>
      </c>
      <c r="B10467" t="s">
        <v>130</v>
      </c>
      <c r="C10467">
        <v>19694260</v>
      </c>
      <c r="D10467">
        <v>11438</v>
      </c>
    </row>
    <row r="10468" spans="1:4" x14ac:dyDescent="0.25">
      <c r="A10468" t="str">
        <f>T("   392390")</f>
        <v xml:space="preserve">   392390</v>
      </c>
      <c r="B10468" t="s">
        <v>144</v>
      </c>
      <c r="C10468">
        <v>10535826</v>
      </c>
      <c r="D10468">
        <v>6647</v>
      </c>
    </row>
    <row r="10469" spans="1:4" x14ac:dyDescent="0.25">
      <c r="A10469" t="str">
        <f>T("   401110")</f>
        <v xml:space="preserve">   401110</v>
      </c>
      <c r="B10469" t="str">
        <f>T("   Pneumatiques neufs, en caoutchouc, des types utilisés pour les voitures de tourisme, y.c. les voitures du type 'break' et les voitures de course")</f>
        <v xml:space="preserve">   Pneumatiques neufs, en caoutchouc, des types utilisés pour les voitures de tourisme, y.c. les voitures du type 'break' et les voitures de course</v>
      </c>
      <c r="C10469">
        <v>81316779</v>
      </c>
      <c r="D10469">
        <v>53588</v>
      </c>
    </row>
    <row r="10470" spans="1:4" x14ac:dyDescent="0.25">
      <c r="A10470" t="str">
        <f>T("   420239")</f>
        <v xml:space="preserve">   420239</v>
      </c>
      <c r="B10470" t="s">
        <v>162</v>
      </c>
      <c r="C10470">
        <v>5942670</v>
      </c>
      <c r="D10470">
        <v>17</v>
      </c>
    </row>
    <row r="10471" spans="1:4" x14ac:dyDescent="0.25">
      <c r="A10471" t="str">
        <f>T("   441520")</f>
        <v xml:space="preserve">   441520</v>
      </c>
      <c r="B10471" t="str">
        <f>T("   Palettes simples, palettes-caisses et autres plateaux de chargement, en bois; rehausses de palettes en bois (à l'excl. des cadres et conteneurs spécialement conçus et équipés pour un ou plusieurs modes de transport)")</f>
        <v xml:space="preserve">   Palettes simples, palettes-caisses et autres plateaux de chargement, en bois; rehausses de palettes en bois (à l'excl. des cadres et conteneurs spécialement conçus et équipés pour un ou plusieurs modes de transport)</v>
      </c>
      <c r="C10471">
        <v>3550311</v>
      </c>
      <c r="D10471">
        <v>2438</v>
      </c>
    </row>
    <row r="10472" spans="1:4" x14ac:dyDescent="0.25">
      <c r="A10472" t="str">
        <f>T("   551219")</f>
        <v xml:space="preserve">   551219</v>
      </c>
      <c r="B10472" t="str">
        <f>T("   Tissus, teints, imprimés ou en fils de diverses couleurs, de fibres discontinues de polyester, contenant &gt;= 85% en poids de ces fibres")</f>
        <v xml:space="preserve">   Tissus, teints, imprimés ou en fils de diverses couleurs, de fibres discontinues de polyester, contenant &gt;= 85% en poids de ces fibres</v>
      </c>
      <c r="C10472">
        <v>30830119</v>
      </c>
      <c r="D10472">
        <v>32287</v>
      </c>
    </row>
    <row r="10473" spans="1:4" x14ac:dyDescent="0.25">
      <c r="A10473" t="str">
        <f>T("   551319")</f>
        <v xml:space="preserve">   551319</v>
      </c>
      <c r="B10473" t="s">
        <v>231</v>
      </c>
      <c r="C10473">
        <v>199598375</v>
      </c>
      <c r="D10473">
        <v>210619</v>
      </c>
    </row>
    <row r="10474" spans="1:4" x14ac:dyDescent="0.25">
      <c r="A10474" t="str">
        <f>T("   551321")</f>
        <v xml:space="preserve">   551321</v>
      </c>
      <c r="B10474" t="str">
        <f>T("   Tissus, teints, de fibres discontinues de polyester, contenant en prédominance, mais &lt; 85% en poids de ces fibres, mélangés principalement ou uniquement avec du coton, à armure toile, d'un poids &lt;= 170 g/m²")</f>
        <v xml:space="preserve">   Tissus, teints, de fibres discontinues de polyester, contenant en prédominance, mais &lt; 85% en poids de ces fibres, mélangés principalement ou uniquement avec du coton, à armure toile, d'un poids &lt;= 170 g/m²</v>
      </c>
      <c r="C10474">
        <v>14000625</v>
      </c>
      <c r="D10474">
        <v>14719</v>
      </c>
    </row>
    <row r="10475" spans="1:4" x14ac:dyDescent="0.25">
      <c r="A10475" t="str">
        <f>T("   551419")</f>
        <v xml:space="preserve">   551419</v>
      </c>
      <c r="B10475" t="s">
        <v>233</v>
      </c>
      <c r="C10475">
        <v>28000000</v>
      </c>
      <c r="D10475">
        <v>30450</v>
      </c>
    </row>
    <row r="10476" spans="1:4" x14ac:dyDescent="0.25">
      <c r="A10476" t="str">
        <f>T("   551421")</f>
        <v xml:space="preserve">   551421</v>
      </c>
      <c r="B10476" t="str">
        <f>T("   Tissus, teints, de fibres discontinues de polyester, contenant en prédominance, mais &lt; 85% en poids de ces fibres, mélangés principalement ou uniquement avec du coton, à armure toile, d'un poids &gt; 170 g/m²")</f>
        <v xml:space="preserve">   Tissus, teints, de fibres discontinues de polyester, contenant en prédominance, mais &lt; 85% en poids de ces fibres, mélangés principalement ou uniquement avec du coton, à armure toile, d'un poids &gt; 170 g/m²</v>
      </c>
      <c r="C10476">
        <v>31804843</v>
      </c>
      <c r="D10476">
        <v>44383</v>
      </c>
    </row>
    <row r="10477" spans="1:4" x14ac:dyDescent="0.25">
      <c r="A10477" t="str">
        <f>T("   630900")</f>
        <v xml:space="preserve">   630900</v>
      </c>
      <c r="B10477" t="s">
        <v>280</v>
      </c>
      <c r="C10477">
        <v>12130000</v>
      </c>
      <c r="D10477">
        <v>15000</v>
      </c>
    </row>
    <row r="10478" spans="1:4" x14ac:dyDescent="0.25">
      <c r="A10478" t="str">
        <f>T("   851220")</f>
        <v xml:space="preserve">   851220</v>
      </c>
      <c r="B10478" t="str">
        <f>T("   Appareils électriques d'éclairage ou de signalisation visuelle, pour automobiles (à l'excl. des lampes du n° 8539)")</f>
        <v xml:space="preserve">   Appareils électriques d'éclairage ou de signalisation visuelle, pour automobiles (à l'excl. des lampes du n° 8539)</v>
      </c>
      <c r="C10478">
        <v>20150388</v>
      </c>
      <c r="D10478">
        <v>4624</v>
      </c>
    </row>
    <row r="10479" spans="1:4" x14ac:dyDescent="0.25">
      <c r="A10479" t="str">
        <f>T("   852691")</f>
        <v xml:space="preserve">   852691</v>
      </c>
      <c r="B10479" t="str">
        <f>T("   Appareils de radionavigation")</f>
        <v xml:space="preserve">   Appareils de radionavigation</v>
      </c>
      <c r="C10479">
        <v>79048428</v>
      </c>
      <c r="D10479">
        <v>185</v>
      </c>
    </row>
    <row r="10480" spans="1:4" x14ac:dyDescent="0.25">
      <c r="A10480" t="str">
        <f>T("   870829")</f>
        <v xml:space="preserve">   870829</v>
      </c>
      <c r="B10480" t="s">
        <v>488</v>
      </c>
      <c r="C10480">
        <v>13167265</v>
      </c>
      <c r="D10480">
        <v>9633</v>
      </c>
    </row>
    <row r="10481" spans="1:4" x14ac:dyDescent="0.25">
      <c r="A10481" t="str">
        <f>T("   870899")</f>
        <v xml:space="preserve">   870899</v>
      </c>
      <c r="B10481"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10481">
        <v>16500000</v>
      </c>
      <c r="D10481">
        <v>6737</v>
      </c>
    </row>
    <row r="10482" spans="1:4" x14ac:dyDescent="0.25">
      <c r="A10482" t="str">
        <f>T("   901841")</f>
        <v xml:space="preserve">   901841</v>
      </c>
      <c r="B10482" t="str">
        <f>T("   Tours dentaires, même combinés sur une base commune avec d'autres équipements dentaires")</f>
        <v xml:space="preserve">   Tours dentaires, même combinés sur une base commune avec d'autres équipements dentaires</v>
      </c>
      <c r="C10482">
        <v>259808</v>
      </c>
      <c r="D10482">
        <v>10</v>
      </c>
    </row>
    <row r="10483" spans="1:4" x14ac:dyDescent="0.25">
      <c r="A10483" t="str">
        <f>T("   901890")</f>
        <v xml:space="preserve">   901890</v>
      </c>
      <c r="B10483" t="str">
        <f>T("   Instruments et appareils pour la médecine, la chirurgie ou l'art vétérinaire, n.d.a.")</f>
        <v xml:space="preserve">   Instruments et appareils pour la médecine, la chirurgie ou l'art vétérinaire, n.d.a.</v>
      </c>
      <c r="C10483">
        <v>9539065</v>
      </c>
      <c r="D10483">
        <v>1476</v>
      </c>
    </row>
    <row r="10484" spans="1:4" x14ac:dyDescent="0.25">
      <c r="A10484" t="str">
        <f>T("TZ")</f>
        <v>TZ</v>
      </c>
      <c r="B10484" t="str">
        <f>T("Tanzanie")</f>
        <v>Tanzanie</v>
      </c>
    </row>
    <row r="10485" spans="1:4" x14ac:dyDescent="0.25">
      <c r="A10485" t="str">
        <f>T("   ZZ_Total_Produit_SH6")</f>
        <v xml:space="preserve">   ZZ_Total_Produit_SH6</v>
      </c>
      <c r="B10485" t="str">
        <f>T("   ZZ_Total_Produit_SH6")</f>
        <v xml:space="preserve">   ZZ_Total_Produit_SH6</v>
      </c>
      <c r="C10485">
        <v>1375219</v>
      </c>
      <c r="D10485">
        <v>761</v>
      </c>
    </row>
    <row r="10486" spans="1:4" x14ac:dyDescent="0.25">
      <c r="A10486" t="str">
        <f>T("   490199")</f>
        <v xml:space="preserve">   490199</v>
      </c>
      <c r="B10486"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10486">
        <v>237278</v>
      </c>
      <c r="D10486">
        <v>204</v>
      </c>
    </row>
    <row r="10487" spans="1:4" x14ac:dyDescent="0.25">
      <c r="A10487" t="str">
        <f>T("   620469")</f>
        <v xml:space="preserve">   620469</v>
      </c>
      <c r="B10487" t="s">
        <v>269</v>
      </c>
      <c r="C10487">
        <v>800000</v>
      </c>
      <c r="D10487">
        <v>265</v>
      </c>
    </row>
    <row r="10488" spans="1:4" x14ac:dyDescent="0.25">
      <c r="A10488" t="str">
        <f>T("   732399")</f>
        <v xml:space="preserve">   732399</v>
      </c>
      <c r="B10488" t="s">
        <v>362</v>
      </c>
      <c r="C10488">
        <v>203244</v>
      </c>
      <c r="D10488">
        <v>150</v>
      </c>
    </row>
    <row r="10489" spans="1:4" x14ac:dyDescent="0.25">
      <c r="A10489" t="str">
        <f>T("   851993")</f>
        <v xml:space="preserve">   851993</v>
      </c>
      <c r="B10489" t="s">
        <v>456</v>
      </c>
      <c r="C10489">
        <v>134697</v>
      </c>
      <c r="D10489">
        <v>142</v>
      </c>
    </row>
    <row r="10490" spans="1:4" x14ac:dyDescent="0.25">
      <c r="A10490" t="str">
        <f>T("UA")</f>
        <v>UA</v>
      </c>
      <c r="B10490" t="str">
        <f>T("Ukraine")</f>
        <v>Ukraine</v>
      </c>
    </row>
    <row r="10491" spans="1:4" x14ac:dyDescent="0.25">
      <c r="A10491" t="str">
        <f>T("   ZZ_Total_Produit_SH6")</f>
        <v xml:space="preserve">   ZZ_Total_Produit_SH6</v>
      </c>
      <c r="B10491" t="str">
        <f>T("   ZZ_Total_Produit_SH6")</f>
        <v xml:space="preserve">   ZZ_Total_Produit_SH6</v>
      </c>
      <c r="C10491">
        <v>7031425211.4560003</v>
      </c>
      <c r="D10491">
        <v>19195694</v>
      </c>
    </row>
    <row r="10492" spans="1:4" x14ac:dyDescent="0.25">
      <c r="A10492" t="str">
        <f>T("   110100")</f>
        <v xml:space="preserve">   110100</v>
      </c>
      <c r="B10492" t="str">
        <f>T("   Farines de froment [blé] ou de méteil")</f>
        <v xml:space="preserve">   Farines de froment [blé] ou de méteil</v>
      </c>
      <c r="C10492">
        <v>34656314.456</v>
      </c>
      <c r="D10492">
        <v>127864</v>
      </c>
    </row>
    <row r="10493" spans="1:4" x14ac:dyDescent="0.25">
      <c r="A10493" t="str">
        <f>T("   610990")</f>
        <v xml:space="preserve">   610990</v>
      </c>
      <c r="B10493" t="str">
        <f>T("   T-shirts et maillots de corps, en bonneterie, de matières textiles (sauf de coton)")</f>
        <v xml:space="preserve">   T-shirts et maillots de corps, en bonneterie, de matières textiles (sauf de coton)</v>
      </c>
      <c r="C10493">
        <v>130383</v>
      </c>
      <c r="D10493">
        <v>7</v>
      </c>
    </row>
    <row r="10494" spans="1:4" x14ac:dyDescent="0.25">
      <c r="A10494" t="str">
        <f>T("   630900")</f>
        <v xml:space="preserve">   630900</v>
      </c>
      <c r="B10494" t="s">
        <v>280</v>
      </c>
      <c r="C10494">
        <v>11141053</v>
      </c>
      <c r="D10494">
        <v>19000</v>
      </c>
    </row>
    <row r="10495" spans="1:4" x14ac:dyDescent="0.25">
      <c r="A10495" t="str">
        <f>T("   720918")</f>
        <v xml:space="preserve">   720918</v>
      </c>
      <c r="B10495" t="str">
        <f>T("   PRODUITS LAMINÉS PLATS, EN FER OU EN ACIERS NON-ALLIÉS, D'UNE LARGEUR &gt;= 600 MM, NON-PLAQUÉS NI REVÊTUS, ENROULÉS, SIMPL. LAMINÉS À FROID, D'UNE ÉPAISSEUR &lt; 0,5 MM")</f>
        <v xml:space="preserve">   PRODUITS LAMINÉS PLATS, EN FER OU EN ACIERS NON-ALLIÉS, D'UNE LARGEUR &gt;= 600 MM, NON-PLAQUÉS NI REVÊTUS, ENROULÉS, SIMPL. LAMINÉS À FROID, D'UNE ÉPAISSEUR &lt; 0,5 MM</v>
      </c>
      <c r="C10495">
        <v>162611828</v>
      </c>
      <c r="D10495">
        <v>392250</v>
      </c>
    </row>
    <row r="10496" spans="1:4" x14ac:dyDescent="0.25">
      <c r="A10496" t="str">
        <f>T("   720990")</f>
        <v xml:space="preserve">   720990</v>
      </c>
      <c r="B10496" t="str">
        <f>T("   PRODUITS LAMINÉS PLATS, EN FER OU EN ACIER, D'UNE LARGEUR &gt;= 600 MM, LAMINÉS À FROID ET AYANT SUBI CERTAINES OUVRAISONS PLUS POUSSÉES, MAIS NON-PLAQUÉS NI REVÊTUS")</f>
        <v xml:space="preserve">   PRODUITS LAMINÉS PLATS, EN FER OU EN ACIER, D'UNE LARGEUR &gt;= 600 MM, LAMINÉS À FROID ET AYANT SUBI CERTAINES OUVRAISONS PLUS POUSSÉES, MAIS NON-PLAQUÉS NI REVÊTUS</v>
      </c>
      <c r="C10496">
        <v>167259961</v>
      </c>
      <c r="D10496">
        <v>502990</v>
      </c>
    </row>
    <row r="10497" spans="1:4" x14ac:dyDescent="0.25">
      <c r="A10497" t="str">
        <f>T("   721391")</f>
        <v xml:space="preserve">   721391</v>
      </c>
      <c r="B10497" t="str">
        <f>T("   FIL MACHINE EN FER OU ACIERS NON-ALLIÉS, ENROULÉ EN COURONNES IRRÉGULIÈRES, DE SECTION CIRCULAIRE DE DIAMÈTRE &lt; 14 MM (AUTRE QU'EN ACIERS DE DÉCOLLETAGE ET AUTRE QUE FIL MACHINE AVEC INDENTATIONS, BOURRELETS, CREUX OU RELIEFS OBTENUS LORS DU LAMINAGE)")</f>
        <v xml:space="preserve">   FIL MACHINE EN FER OU ACIERS NON-ALLIÉS, ENROULÉ EN COURONNES IRRÉGULIÈRES, DE SECTION CIRCULAIRE DE DIAMÈTRE &lt; 14 MM (AUTRE QU'EN ACIERS DE DÉCOLLETAGE ET AUTRE QUE FIL MACHINE AVEC INDENTATIONS, BOURRELETS, CREUX OU RELIEFS OBTENUS LORS DU LAMINAGE)</v>
      </c>
      <c r="C10497">
        <v>6604154116</v>
      </c>
      <c r="D10497">
        <v>18130615</v>
      </c>
    </row>
    <row r="10498" spans="1:4" x14ac:dyDescent="0.25">
      <c r="A10498" t="str">
        <f>T("   730840")</f>
        <v xml:space="preserve">   730840</v>
      </c>
      <c r="B10498" t="str">
        <f>T("   Matériel d'échafaudage, de coffrage ou d'étayage, en fer ou en acier (autre que palplanches assemblées et coffrages pour béton, qui présentent les caractéristiques de moules)")</f>
        <v xml:space="preserve">   Matériel d'échafaudage, de coffrage ou d'étayage, en fer ou en acier (autre que palplanches assemblées et coffrages pour béton, qui présentent les caractéristiques de moules)</v>
      </c>
      <c r="C10498">
        <v>9981553</v>
      </c>
      <c r="D10498">
        <v>21590</v>
      </c>
    </row>
    <row r="10499" spans="1:4" x14ac:dyDescent="0.25">
      <c r="A10499" t="str">
        <f>T("   842199")</f>
        <v xml:space="preserve">   842199</v>
      </c>
      <c r="B10499" t="str">
        <f>T("   Parties d'appareils pour la filtration ou l'épuration des liquides ou des gaz, n.d.a.")</f>
        <v xml:space="preserve">   Parties d'appareils pour la filtration ou l'épuration des liquides ou des gaz, n.d.a.</v>
      </c>
      <c r="C10499">
        <v>524810</v>
      </c>
      <c r="D10499">
        <v>1</v>
      </c>
    </row>
    <row r="10500" spans="1:4" x14ac:dyDescent="0.25">
      <c r="A10500" t="str">
        <f>T("   848490")</f>
        <v xml:space="preserve">   848490</v>
      </c>
      <c r="B10500" t="str">
        <f>T("   Jeux ou assortiments de joints de composition différente présentés en pochettes, enveloppes ou emballages analogues")</f>
        <v xml:space="preserve">   Jeux ou assortiments de joints de composition différente présentés en pochettes, enveloppes ou emballages analogues</v>
      </c>
      <c r="C10500">
        <v>2052600</v>
      </c>
      <c r="D10500">
        <v>3</v>
      </c>
    </row>
    <row r="10501" spans="1:4" x14ac:dyDescent="0.25">
      <c r="A10501" t="str">
        <f>T("   851780")</f>
        <v xml:space="preserve">   851780</v>
      </c>
      <c r="B10501" t="s">
        <v>453</v>
      </c>
      <c r="C10501">
        <v>529279</v>
      </c>
      <c r="D10501">
        <v>4</v>
      </c>
    </row>
    <row r="10502" spans="1:4" x14ac:dyDescent="0.25">
      <c r="A10502" t="str">
        <f>T("   852330")</f>
        <v xml:space="preserve">   852330</v>
      </c>
      <c r="B10502" t="str">
        <f>T("   Cartes munies d'une piste magnétique non enregistrée")</f>
        <v xml:space="preserve">   Cartes munies d'une piste magnétique non enregistrée</v>
      </c>
      <c r="C10502">
        <v>27483427</v>
      </c>
      <c r="D10502">
        <v>950</v>
      </c>
    </row>
    <row r="10503" spans="1:4" x14ac:dyDescent="0.25">
      <c r="A10503" t="str">
        <f>T("   852460")</f>
        <v xml:space="preserve">   852460</v>
      </c>
      <c r="B10503" t="str">
        <f>T("   Cartes munies d'une piste magnétique enregistrée")</f>
        <v xml:space="preserve">   Cartes munies d'une piste magnétique enregistrée</v>
      </c>
      <c r="C10503">
        <v>10899887</v>
      </c>
      <c r="D10503">
        <v>420</v>
      </c>
    </row>
    <row r="10504" spans="1:4" x14ac:dyDescent="0.25">
      <c r="A10504" t="str">
        <f>T("UG")</f>
        <v>UG</v>
      </c>
      <c r="B10504" t="str">
        <f>T("Ouganda")</f>
        <v>Ouganda</v>
      </c>
    </row>
    <row r="10505" spans="1:4" x14ac:dyDescent="0.25">
      <c r="A10505" t="str">
        <f>T("   ZZ_Total_Produit_SH6")</f>
        <v xml:space="preserve">   ZZ_Total_Produit_SH6</v>
      </c>
      <c r="B10505" t="str">
        <f>T("   ZZ_Total_Produit_SH6")</f>
        <v xml:space="preserve">   ZZ_Total_Produit_SH6</v>
      </c>
      <c r="C10505">
        <v>7570368</v>
      </c>
      <c r="D10505">
        <v>29</v>
      </c>
    </row>
    <row r="10506" spans="1:4" x14ac:dyDescent="0.25">
      <c r="A10506" t="str">
        <f>T("   847190")</f>
        <v xml:space="preserve">   847190</v>
      </c>
      <c r="B10506"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10506">
        <v>7570368</v>
      </c>
      <c r="D10506">
        <v>29</v>
      </c>
    </row>
    <row r="10507" spans="1:4" x14ac:dyDescent="0.25">
      <c r="A10507" t="str">
        <f>T("UM")</f>
        <v>UM</v>
      </c>
      <c r="B10507" t="str">
        <f>T("îles mineures éloignées(Etats-Unis)")</f>
        <v>îles mineures éloignées(Etats-Unis)</v>
      </c>
    </row>
    <row r="10508" spans="1:4" x14ac:dyDescent="0.25">
      <c r="A10508" t="str">
        <f>T("   ZZ_Total_Produit_SH6")</f>
        <v xml:space="preserve">   ZZ_Total_Produit_SH6</v>
      </c>
      <c r="B10508" t="str">
        <f>T("   ZZ_Total_Produit_SH6")</f>
        <v xml:space="preserve">   ZZ_Total_Produit_SH6</v>
      </c>
      <c r="C10508">
        <v>20514976</v>
      </c>
      <c r="D10508">
        <v>2164</v>
      </c>
    </row>
    <row r="10509" spans="1:4" x14ac:dyDescent="0.25">
      <c r="A10509" t="str">
        <f>T("   491199")</f>
        <v xml:space="preserve">   491199</v>
      </c>
      <c r="B10509" t="str">
        <f>T("   Imprimés, n.d.a.")</f>
        <v xml:space="preserve">   Imprimés, n.d.a.</v>
      </c>
      <c r="C10509">
        <v>16016224</v>
      </c>
      <c r="D10509">
        <v>2152</v>
      </c>
    </row>
    <row r="10510" spans="1:4" x14ac:dyDescent="0.25">
      <c r="A10510" t="str">
        <f>T("   847330")</f>
        <v xml:space="preserve">   847330</v>
      </c>
      <c r="B10510" t="str">
        <f>T("   Parties et accessoires pour machines automatiques de traitement de l'information ou pour autres machines du n° 8471, n.d.a.")</f>
        <v xml:space="preserve">   Parties et accessoires pour machines automatiques de traitement de l'information ou pour autres machines du n° 8471, n.d.a.</v>
      </c>
      <c r="C10510">
        <v>3297053</v>
      </c>
      <c r="D10510">
        <v>8</v>
      </c>
    </row>
    <row r="10511" spans="1:4" x14ac:dyDescent="0.25">
      <c r="A10511" t="str">
        <f>T("   850440")</f>
        <v xml:space="preserve">   850440</v>
      </c>
      <c r="B10511" t="str">
        <f>T("   CONVERTISSEURS STATIQUES")</f>
        <v xml:space="preserve">   CONVERTISSEURS STATIQUES</v>
      </c>
      <c r="C10511">
        <v>418105</v>
      </c>
      <c r="D10511">
        <v>1</v>
      </c>
    </row>
    <row r="10512" spans="1:4" x14ac:dyDescent="0.25">
      <c r="A10512" t="str">
        <f>T("   902480")</f>
        <v xml:space="preserve">   902480</v>
      </c>
      <c r="B10512" t="str">
        <f>T("   Machines et appareils d'essais des propriétés mécaniques des matériaux (autres que les métaux)")</f>
        <v xml:space="preserve">   Machines et appareils d'essais des propriétés mécaniques des matériaux (autres que les métaux)</v>
      </c>
      <c r="C10512">
        <v>783594</v>
      </c>
      <c r="D10512">
        <v>3</v>
      </c>
    </row>
    <row r="10513" spans="1:4" x14ac:dyDescent="0.25">
      <c r="A10513" t="str">
        <f>T("US")</f>
        <v>US</v>
      </c>
      <c r="B10513" t="str">
        <f>T("Etats-Unis")</f>
        <v>Etats-Unis</v>
      </c>
    </row>
    <row r="10514" spans="1:4" x14ac:dyDescent="0.25">
      <c r="A10514" t="str">
        <f>T("   ZZ_Total_Produit_SH6")</f>
        <v xml:space="preserve">   ZZ_Total_Produit_SH6</v>
      </c>
      <c r="B10514" t="str">
        <f>T("   ZZ_Total_Produit_SH6")</f>
        <v xml:space="preserve">   ZZ_Total_Produit_SH6</v>
      </c>
      <c r="C10514">
        <v>17617941078.855</v>
      </c>
      <c r="D10514">
        <v>15341078.689999999</v>
      </c>
    </row>
    <row r="10515" spans="1:4" x14ac:dyDescent="0.25">
      <c r="A10515" t="str">
        <f>T("   020712")</f>
        <v xml:space="preserve">   020712</v>
      </c>
      <c r="B10515" t="str">
        <f>T("   COQS ET POULES [DES ESPÈCES DOMESTIQUES], NON-DÉCOUPÉS EN MORCEAUX, CONGELÉS")</f>
        <v xml:space="preserve">   COQS ET POULES [DES ESPÈCES DOMESTIQUES], NON-DÉCOUPÉS EN MORCEAUX, CONGELÉS</v>
      </c>
      <c r="C10515">
        <v>30478000</v>
      </c>
      <c r="D10515">
        <v>49000</v>
      </c>
    </row>
    <row r="10516" spans="1:4" x14ac:dyDescent="0.25">
      <c r="A10516" t="str">
        <f>T("   020714")</f>
        <v xml:space="preserve">   020714</v>
      </c>
      <c r="B10516" t="str">
        <f>T("   Morceaux et abats comestibles de coqs et de poules [des espèces domestiques], congelés")</f>
        <v xml:space="preserve">   Morceaux et abats comestibles de coqs et de poules [des espèces domestiques], congelés</v>
      </c>
      <c r="C10516">
        <v>690623707</v>
      </c>
      <c r="D10516">
        <v>1109375</v>
      </c>
    </row>
    <row r="10517" spans="1:4" x14ac:dyDescent="0.25">
      <c r="A10517" t="str">
        <f>T("   020727")</f>
        <v xml:space="preserve">   020727</v>
      </c>
      <c r="B10517" t="str">
        <f>T("   Morceaux et abats comestibles de dindes et dindons [des espèces domestiques], congelés")</f>
        <v xml:space="preserve">   Morceaux et abats comestibles de dindes et dindons [des espèces domestiques], congelés</v>
      </c>
      <c r="C10517">
        <v>761923712</v>
      </c>
      <c r="D10517">
        <v>1226952</v>
      </c>
    </row>
    <row r="10518" spans="1:4" x14ac:dyDescent="0.25">
      <c r="A10518" t="str">
        <f>T("   030229")</f>
        <v xml:space="preserve">   030229</v>
      </c>
      <c r="B10518" t="str">
        <f>T("   POISSONS PLATS [PLEURONECTIDÉS, BOTHIDÉS, CYNOGLOSSIDÉS, SOLÉIDÉS, SCOPHTHALMIDÉS ET CITHARIDÉS], FRAIS OU RÉFRIGÉRÉS (À L'EXCL. DES FLÉTANS, DES PLIES OU CARRELETS ET DES SOLES)")</f>
        <v xml:space="preserve">   POISSONS PLATS [PLEURONECTIDÉS, BOTHIDÉS, CYNOGLOSSIDÉS, SOLÉIDÉS, SCOPHTHALMIDÉS ET CITHARIDÉS], FRAIS OU RÉFRIGÉRÉS (À L'EXCL. DES FLÉTANS, DES PLIES OU CARRELETS ET DES SOLES)</v>
      </c>
      <c r="C10518">
        <v>6248019</v>
      </c>
      <c r="D10518">
        <v>24500</v>
      </c>
    </row>
    <row r="10519" spans="1:4" x14ac:dyDescent="0.25">
      <c r="A10519" t="str">
        <f>T("   030379")</f>
        <v xml:space="preserve">   030379</v>
      </c>
      <c r="B10519" t="s">
        <v>15</v>
      </c>
      <c r="C10519">
        <v>11250000</v>
      </c>
      <c r="D10519">
        <v>48000</v>
      </c>
    </row>
    <row r="10520" spans="1:4" x14ac:dyDescent="0.25">
      <c r="A10520" t="str">
        <f>T("   040690")</f>
        <v xml:space="preserve">   040690</v>
      </c>
      <c r="B10520" t="s">
        <v>17</v>
      </c>
      <c r="C10520">
        <v>233924</v>
      </c>
      <c r="D10520">
        <v>367</v>
      </c>
    </row>
    <row r="10521" spans="1:4" x14ac:dyDescent="0.25">
      <c r="A10521" t="str">
        <f>T("   050400")</f>
        <v xml:space="preserve">   050400</v>
      </c>
      <c r="B10521" t="str">
        <f>T("   Boyaux, vessies et estomacs d'animaux (autres que ceux de poissons), entiers ou en morceaux, à l'état frais, réfrigéré, congelé, salé ou en saumure, séché ou fumé")</f>
        <v xml:space="preserve">   Boyaux, vessies et estomacs d'animaux (autres que ceux de poissons), entiers ou en morceaux, à l'état frais, réfrigéré, congelé, salé ou en saumure, séché ou fumé</v>
      </c>
      <c r="C10521">
        <v>1170003067</v>
      </c>
      <c r="D10521">
        <v>969881</v>
      </c>
    </row>
    <row r="10522" spans="1:4" x14ac:dyDescent="0.25">
      <c r="A10522" t="str">
        <f>T("   080610")</f>
        <v xml:space="preserve">   080610</v>
      </c>
      <c r="B10522" t="str">
        <f>T("   Raisins, frais")</f>
        <v xml:space="preserve">   Raisins, frais</v>
      </c>
      <c r="C10522">
        <v>40001097</v>
      </c>
      <c r="D10522">
        <v>93245</v>
      </c>
    </row>
    <row r="10523" spans="1:4" x14ac:dyDescent="0.25">
      <c r="A10523" t="str">
        <f>T("   091099")</f>
        <v xml:space="preserve">   091099</v>
      </c>
      <c r="B10523" t="s">
        <v>26</v>
      </c>
      <c r="C10523">
        <v>3410279</v>
      </c>
      <c r="D10523">
        <v>4108</v>
      </c>
    </row>
    <row r="10524" spans="1:4" x14ac:dyDescent="0.25">
      <c r="A10524" t="str">
        <f>T("   100590")</f>
        <v xml:space="preserve">   100590</v>
      </c>
      <c r="B10524" t="str">
        <f>T("   Maïs (autre que de semence)")</f>
        <v xml:space="preserve">   Maïs (autre que de semence)</v>
      </c>
      <c r="C10524">
        <v>148959836</v>
      </c>
      <c r="D10524">
        <v>334320</v>
      </c>
    </row>
    <row r="10525" spans="1:4" x14ac:dyDescent="0.25">
      <c r="A10525" t="str">
        <f>T("   100630")</f>
        <v xml:space="preserve">   100630</v>
      </c>
      <c r="B10525" t="str">
        <f>T("   Riz semi-blanchi ou blanchi, même poli ou glacé")</f>
        <v xml:space="preserve">   Riz semi-blanchi ou blanchi, même poli ou glacé</v>
      </c>
      <c r="C10525">
        <v>28216254.855</v>
      </c>
      <c r="D10525">
        <v>100270</v>
      </c>
    </row>
    <row r="10526" spans="1:4" x14ac:dyDescent="0.25">
      <c r="A10526" t="str">
        <f>T("   120929")</f>
        <v xml:space="preserve">   120929</v>
      </c>
      <c r="B10526" t="s">
        <v>28</v>
      </c>
      <c r="C10526">
        <v>11178</v>
      </c>
      <c r="D10526">
        <v>1</v>
      </c>
    </row>
    <row r="10527" spans="1:4" x14ac:dyDescent="0.25">
      <c r="A10527" t="str">
        <f>T("   170490")</f>
        <v xml:space="preserve">   170490</v>
      </c>
      <c r="B10527" t="str">
        <f>T("   Sucreries sans cacao, y.c. le chocolat blanc (à l'excl. des gommes à mâcher)")</f>
        <v xml:space="preserve">   Sucreries sans cacao, y.c. le chocolat blanc (à l'excl. des gommes à mâcher)</v>
      </c>
      <c r="C10527">
        <v>53851327</v>
      </c>
      <c r="D10527">
        <v>233236</v>
      </c>
    </row>
    <row r="10528" spans="1:4" x14ac:dyDescent="0.25">
      <c r="A10528" t="str">
        <f>T("   180631")</f>
        <v xml:space="preserve">   180631</v>
      </c>
      <c r="B10528" t="str">
        <f>T("   Chocolat et autres préparations alimentaires contenant du cacao, présentés en tablettes, barres ou bâtons, d'un poids &lt;= 2 kg, fourrés")</f>
        <v xml:space="preserve">   Chocolat et autres préparations alimentaires contenant du cacao, présentés en tablettes, barres ou bâtons, d'un poids &lt;= 2 kg, fourrés</v>
      </c>
      <c r="C10528">
        <v>19710684</v>
      </c>
      <c r="D10528">
        <v>77878</v>
      </c>
    </row>
    <row r="10529" spans="1:4" x14ac:dyDescent="0.25">
      <c r="A10529" t="str">
        <f>T("   180690")</f>
        <v xml:space="preserve">   180690</v>
      </c>
      <c r="B10529" t="str">
        <f>T("   Chocolat et autres préparations alimentaires contenant du cacao, en récipients ou en emballages immédiats d'un contenu &lt;= 2 kg (à l'excl. de la poudre de cacao et des produits présentés en tablettes, barres ou bâtons)")</f>
        <v xml:space="preserve">   Chocolat et autres préparations alimentaires contenant du cacao, en récipients ou en emballages immédiats d'un contenu &lt;= 2 kg (à l'excl. de la poudre de cacao et des produits présentés en tablettes, barres ou bâtons)</v>
      </c>
      <c r="C10529">
        <v>14900381</v>
      </c>
      <c r="D10529">
        <v>69472</v>
      </c>
    </row>
    <row r="10530" spans="1:4" x14ac:dyDescent="0.25">
      <c r="A10530" t="str">
        <f>T("   190490")</f>
        <v xml:space="preserve">   190490</v>
      </c>
      <c r="B10530" t="s">
        <v>49</v>
      </c>
      <c r="C10530">
        <v>196624</v>
      </c>
      <c r="D10530">
        <v>308</v>
      </c>
    </row>
    <row r="10531" spans="1:4" x14ac:dyDescent="0.25">
      <c r="A10531" t="str">
        <f>T("   190531")</f>
        <v xml:space="preserve">   190531</v>
      </c>
      <c r="B10531" t="str">
        <f>T("   Biscuits additionnés d'édulcorants")</f>
        <v xml:space="preserve">   Biscuits additionnés d'édulcorants</v>
      </c>
      <c r="C10531">
        <v>27680291</v>
      </c>
      <c r="D10531">
        <v>101385</v>
      </c>
    </row>
    <row r="10532" spans="1:4" x14ac:dyDescent="0.25">
      <c r="A10532" t="str">
        <f>T("   190532")</f>
        <v xml:space="preserve">   190532</v>
      </c>
      <c r="B10532" t="str">
        <f>T("   GAUFRES ET GAUFRETTES")</f>
        <v xml:space="preserve">   GAUFRES ET GAUFRETTES</v>
      </c>
      <c r="C10532">
        <v>28077949</v>
      </c>
      <c r="D10532">
        <v>113458</v>
      </c>
    </row>
    <row r="10533" spans="1:4" x14ac:dyDescent="0.25">
      <c r="A10533" t="str">
        <f>T("   190590")</f>
        <v xml:space="preserve">   190590</v>
      </c>
      <c r="B10533" t="s">
        <v>50</v>
      </c>
      <c r="C10533">
        <v>1126952</v>
      </c>
      <c r="D10533">
        <v>7704</v>
      </c>
    </row>
    <row r="10534" spans="1:4" x14ac:dyDescent="0.25">
      <c r="A10534" t="str">
        <f>T("   210112")</f>
        <v xml:space="preserve">   210112</v>
      </c>
      <c r="B10534" t="str">
        <f>T("   Préparations à base d'extraits, essences ou concentrés de café ou à base de café")</f>
        <v xml:space="preserve">   Préparations à base d'extraits, essences ou concentrés de café ou à base de café</v>
      </c>
      <c r="C10534">
        <v>285611</v>
      </c>
      <c r="D10534">
        <v>447</v>
      </c>
    </row>
    <row r="10535" spans="1:4" x14ac:dyDescent="0.25">
      <c r="A10535" t="str">
        <f>T("   210320")</f>
        <v xml:space="preserve">   210320</v>
      </c>
      <c r="B10535" t="str">
        <f>T("   Tomato ketchup et autres sauces tomates")</f>
        <v xml:space="preserve">   Tomato ketchup et autres sauces tomates</v>
      </c>
      <c r="C10535">
        <v>1126458</v>
      </c>
      <c r="D10535">
        <v>1765</v>
      </c>
    </row>
    <row r="10536" spans="1:4" x14ac:dyDescent="0.25">
      <c r="A10536" t="str">
        <f>T("   210330")</f>
        <v xml:space="preserve">   210330</v>
      </c>
      <c r="B10536" t="str">
        <f>T("   Farine de moutarde et moutarde préparée")</f>
        <v xml:space="preserve">   Farine de moutarde et moutarde préparée</v>
      </c>
      <c r="C10536">
        <v>107637</v>
      </c>
      <c r="D10536">
        <v>169</v>
      </c>
    </row>
    <row r="10537" spans="1:4" x14ac:dyDescent="0.25">
      <c r="A10537" t="str">
        <f>T("   210390")</f>
        <v xml:space="preserve">   210390</v>
      </c>
      <c r="B10537" t="str">
        <f>T("   Préparations pour sauces et sauces préparées; condiments et assaisonnements, composés (à l'excl. de la sauce de soja, du tomato ketchup et autres sauces tomates, de la farine de moutarde et de la moutarde préparée)")</f>
        <v xml:space="preserve">   Préparations pour sauces et sauces préparées; condiments et assaisonnements, composés (à l'excl. de la sauce de soja, du tomato ketchup et autres sauces tomates, de la farine de moutarde et de la moutarde préparée)</v>
      </c>
      <c r="C10537">
        <v>73475223</v>
      </c>
      <c r="D10537">
        <v>158072</v>
      </c>
    </row>
    <row r="10538" spans="1:4" x14ac:dyDescent="0.25">
      <c r="A10538" t="str">
        <f>T("   210410")</f>
        <v xml:space="preserve">   210410</v>
      </c>
      <c r="B10538" t="str">
        <f>T("   Préparations pour soupes, potages ou bouillons; soupes, potages ou bouillons préparés")</f>
        <v xml:space="preserve">   Préparations pour soupes, potages ou bouillons; soupes, potages ou bouillons préparés</v>
      </c>
      <c r="C10538">
        <v>266428</v>
      </c>
      <c r="D10538">
        <v>418</v>
      </c>
    </row>
    <row r="10539" spans="1:4" x14ac:dyDescent="0.25">
      <c r="A10539" t="str">
        <f>T("   210690")</f>
        <v xml:space="preserve">   210690</v>
      </c>
      <c r="B10539" t="str">
        <f>T("   Préparations alimentaires, n.d.a.")</f>
        <v xml:space="preserve">   Préparations alimentaires, n.d.a.</v>
      </c>
      <c r="C10539">
        <v>218714</v>
      </c>
      <c r="D10539">
        <v>314</v>
      </c>
    </row>
    <row r="10540" spans="1:4" x14ac:dyDescent="0.25">
      <c r="A10540" t="str">
        <f>T("   220290")</f>
        <v xml:space="preserve">   220290</v>
      </c>
      <c r="B10540" t="str">
        <f>T("   BOISSONS NON-ALCOOLIQUES (À L'EXCL. DES EAUX, DES JUS DE FRUITS OU DE LÉGUMES AINSI QUE DU LAIT)")</f>
        <v xml:space="preserve">   BOISSONS NON-ALCOOLIQUES (À L'EXCL. DES EAUX, DES JUS DE FRUITS OU DE LÉGUMES AINSI QUE DU LAIT)</v>
      </c>
      <c r="C10540">
        <v>885201</v>
      </c>
      <c r="D10540">
        <v>1527</v>
      </c>
    </row>
    <row r="10541" spans="1:4" x14ac:dyDescent="0.25">
      <c r="A10541" t="str">
        <f>T("   220900")</f>
        <v xml:space="preserve">   220900</v>
      </c>
      <c r="B10541" t="str">
        <f>T("   Vinaigres comestibles et succédanés de vinaigre comestibles obtenus à partir d'acide acétique")</f>
        <v xml:space="preserve">   Vinaigres comestibles et succédanés de vinaigre comestibles obtenus à partir d'acide acétique</v>
      </c>
      <c r="C10541">
        <v>70337</v>
      </c>
      <c r="D10541">
        <v>110</v>
      </c>
    </row>
    <row r="10542" spans="1:4" x14ac:dyDescent="0.25">
      <c r="A10542" t="str">
        <f>T("   252210")</f>
        <v xml:space="preserve">   252210</v>
      </c>
      <c r="B10542" t="str">
        <f>T("   Chaux vive")</f>
        <v xml:space="preserve">   Chaux vive</v>
      </c>
      <c r="C10542">
        <v>6320559</v>
      </c>
      <c r="D10542">
        <v>78300</v>
      </c>
    </row>
    <row r="10543" spans="1:4" x14ac:dyDescent="0.25">
      <c r="A10543" t="str">
        <f>T("   271019")</f>
        <v xml:space="preserve">   271019</v>
      </c>
      <c r="B10543" t="str">
        <f>T("   Huiles moyennes et préparations, de pétrole ou de minéraux bitumineux, n.d.a.")</f>
        <v xml:space="preserve">   Huiles moyennes et préparations, de pétrole ou de minéraux bitumineux, n.d.a.</v>
      </c>
      <c r="C10543">
        <v>25294063</v>
      </c>
      <c r="D10543">
        <v>191861</v>
      </c>
    </row>
    <row r="10544" spans="1:4" x14ac:dyDescent="0.25">
      <c r="A10544" t="str">
        <f>T("   282810")</f>
        <v xml:space="preserve">   282810</v>
      </c>
      <c r="B10544" t="str">
        <f>T("   Hypochlorites de calcium, y.c. l'hypochlorite de calcium du commerce")</f>
        <v xml:space="preserve">   Hypochlorites de calcium, y.c. l'hypochlorite de calcium du commerce</v>
      </c>
      <c r="C10544">
        <v>16770001</v>
      </c>
      <c r="D10544">
        <v>45759</v>
      </c>
    </row>
    <row r="10545" spans="1:4" x14ac:dyDescent="0.25">
      <c r="A10545" t="str">
        <f>T("   284150")</f>
        <v xml:space="preserve">   284150</v>
      </c>
      <c r="B10545" t="str">
        <f>T("   Chromates, dichromates et peroxochromates (à l'excl. des chromates de zinc ou de plomb ainsi que du dichromate de sodium)")</f>
        <v xml:space="preserve">   Chromates, dichromates et peroxochromates (à l'excl. des chromates de zinc ou de plomb ainsi que du dichromate de sodium)</v>
      </c>
      <c r="C10545">
        <v>253201</v>
      </c>
      <c r="D10545">
        <v>3</v>
      </c>
    </row>
    <row r="10546" spans="1:4" x14ac:dyDescent="0.25">
      <c r="A10546" t="str">
        <f>T("   300220")</f>
        <v xml:space="preserve">   300220</v>
      </c>
      <c r="B10546" t="str">
        <f>T("   Vaccins pour la médecine humaine")</f>
        <v xml:space="preserve">   Vaccins pour la médecine humaine</v>
      </c>
      <c r="C10546">
        <v>178304802</v>
      </c>
      <c r="D10546">
        <v>3063.7</v>
      </c>
    </row>
    <row r="10547" spans="1:4" x14ac:dyDescent="0.25">
      <c r="A10547" t="str">
        <f>T("   300490")</f>
        <v xml:space="preserve">   300490</v>
      </c>
      <c r="B10547" t="s">
        <v>78</v>
      </c>
      <c r="C10547">
        <v>19412086</v>
      </c>
      <c r="D10547">
        <v>800</v>
      </c>
    </row>
    <row r="10548" spans="1:4" x14ac:dyDescent="0.25">
      <c r="A10548" t="str">
        <f>T("   300590")</f>
        <v xml:space="preserve">   300590</v>
      </c>
      <c r="B10548" t="s">
        <v>79</v>
      </c>
      <c r="C10548">
        <v>3707095</v>
      </c>
      <c r="D10548">
        <v>3957</v>
      </c>
    </row>
    <row r="10549" spans="1:4" x14ac:dyDescent="0.25">
      <c r="A10549" t="str">
        <f>T("   320990")</f>
        <v xml:space="preserve">   320990</v>
      </c>
      <c r="B10549" t="str">
        <f>T("   Peintures et vernis à base de polymères synthétiques ou de polymères naturels modifiés, dispersés ou dissous dans un milieu aqueux (à l'excl. des produits à base de polymères acryliques ou vinyliques)")</f>
        <v xml:space="preserve">   Peintures et vernis à base de polymères synthétiques ou de polymères naturels modifiés, dispersés ou dissous dans un milieu aqueux (à l'excl. des produits à base de polymères acryliques ou vinyliques)</v>
      </c>
      <c r="C10549">
        <v>15000</v>
      </c>
      <c r="D10549">
        <v>50</v>
      </c>
    </row>
    <row r="10550" spans="1:4" x14ac:dyDescent="0.25">
      <c r="A10550" t="str">
        <f>T("   330210")</f>
        <v xml:space="preserve">   330210</v>
      </c>
      <c r="B10550" t="str">
        <f>T("   Mélanges de substances odoriférantes et mélanges, y.c. les solutions alcooliques, à base d'une ou de plusieurs de ces substances, des types utilisés comme matières de base pour les industries des produits alimentaires et des boissons")</f>
        <v xml:space="preserve">   Mélanges de substances odoriférantes et mélanges, y.c. les solutions alcooliques, à base d'une ou de plusieurs de ces substances, des types utilisés comme matières de base pour les industries des produits alimentaires et des boissons</v>
      </c>
      <c r="C10550">
        <v>143751666</v>
      </c>
      <c r="D10550">
        <v>6970</v>
      </c>
    </row>
    <row r="10551" spans="1:4" x14ac:dyDescent="0.25">
      <c r="A10551" t="str">
        <f>T("   330300")</f>
        <v xml:space="preserve">   330300</v>
      </c>
      <c r="B10551" t="str">
        <f>T("   Parfums et eaux de toilette (à l'excl. des préparations pour l'après-rasage [lotions after-shave] et des désodorisants corporels)")</f>
        <v xml:space="preserve">   Parfums et eaux de toilette (à l'excl. des préparations pour l'après-rasage [lotions after-shave] et des désodorisants corporels)</v>
      </c>
      <c r="C10551">
        <v>2579018</v>
      </c>
      <c r="D10551">
        <v>1929</v>
      </c>
    </row>
    <row r="10552" spans="1:4" x14ac:dyDescent="0.25">
      <c r="A10552" t="str">
        <f>T("   330491")</f>
        <v xml:space="preserve">   330491</v>
      </c>
      <c r="B10552" t="str">
        <f>T("   Poudres pour le maquillage ou l'entretien ou les soins de la peau, y.c. les poudres pour bébés et les poudres compactes (à l'excl. des médicaments)")</f>
        <v xml:space="preserve">   Poudres pour le maquillage ou l'entretien ou les soins de la peau, y.c. les poudres pour bébés et les poudres compactes (à l'excl. des médicaments)</v>
      </c>
      <c r="C10552">
        <v>593602</v>
      </c>
      <c r="D10552">
        <v>266</v>
      </c>
    </row>
    <row r="10553" spans="1:4" x14ac:dyDescent="0.25">
      <c r="A10553" t="str">
        <f>T("   330499")</f>
        <v xml:space="preserve">   330499</v>
      </c>
      <c r="B10553" t="s">
        <v>100</v>
      </c>
      <c r="C10553">
        <v>4833434</v>
      </c>
      <c r="D10553">
        <v>276</v>
      </c>
    </row>
    <row r="10554" spans="1:4" x14ac:dyDescent="0.25">
      <c r="A10554" t="str">
        <f>T("   330510")</f>
        <v xml:space="preserve">   330510</v>
      </c>
      <c r="B10554" t="str">
        <f>T("   Shampooings")</f>
        <v xml:space="preserve">   Shampooings</v>
      </c>
      <c r="C10554">
        <v>676492</v>
      </c>
      <c r="D10554">
        <v>2301</v>
      </c>
    </row>
    <row r="10555" spans="1:4" x14ac:dyDescent="0.25">
      <c r="A10555" t="str">
        <f>T("   330520")</f>
        <v xml:space="preserve">   330520</v>
      </c>
      <c r="B10555" t="str">
        <f>T("   Préparations pour l'ondulation ou le défrisage permanents")</f>
        <v xml:space="preserve">   Préparations pour l'ondulation ou le défrisage permanents</v>
      </c>
      <c r="C10555">
        <v>10948364</v>
      </c>
      <c r="D10555">
        <v>14231</v>
      </c>
    </row>
    <row r="10556" spans="1:4" x14ac:dyDescent="0.25">
      <c r="A10556" t="str">
        <f>T("   330590")</f>
        <v xml:space="preserve">   330590</v>
      </c>
      <c r="B10556" t="str">
        <f>T("   PRÉPARATIONS CAPILLAIRES (À L'EXCL. DES SHAMPOOINGS, DES LAQUES POUR CHEVEUX ET DES PRÉPARATIONS POUR L'ONDULATION OU LE DÉFRISAGE PERMANENTS)")</f>
        <v xml:space="preserve">   PRÉPARATIONS CAPILLAIRES (À L'EXCL. DES SHAMPOOINGS, DES LAQUES POUR CHEVEUX ET DES PRÉPARATIONS POUR L'ONDULATION OU LE DÉFRISAGE PERMANENTS)</v>
      </c>
      <c r="C10556">
        <v>18208690</v>
      </c>
      <c r="D10556">
        <v>21389</v>
      </c>
    </row>
    <row r="10557" spans="1:4" x14ac:dyDescent="0.25">
      <c r="A10557" t="str">
        <f>T("   330790")</f>
        <v xml:space="preserve">   330790</v>
      </c>
      <c r="B10557" t="str">
        <f>T("   Dépilatoires, autres produits de parfumerie ou de toilette préparés et autres préparations cosmétiques, n.d.a.")</f>
        <v xml:space="preserve">   Dépilatoires, autres produits de parfumerie ou de toilette préparés et autres préparations cosmétiques, n.d.a.</v>
      </c>
      <c r="C10557">
        <v>5921699</v>
      </c>
      <c r="D10557">
        <v>943</v>
      </c>
    </row>
    <row r="10558" spans="1:4" x14ac:dyDescent="0.25">
      <c r="A10558" t="str">
        <f>T("   340120")</f>
        <v xml:space="preserve">   340120</v>
      </c>
      <c r="B10558" t="str">
        <f>T("   Savons en flocons, en paillettes, en granulés ou en poudres et savons liquides ou pâteux")</f>
        <v xml:space="preserve">   Savons en flocons, en paillettes, en granulés ou en poudres et savons liquides ou pâteux</v>
      </c>
      <c r="C10558">
        <v>159857</v>
      </c>
      <c r="D10558">
        <v>1050</v>
      </c>
    </row>
    <row r="10559" spans="1:4" x14ac:dyDescent="0.25">
      <c r="A10559" t="str">
        <f>T("   350610")</f>
        <v xml:space="preserve">   350610</v>
      </c>
      <c r="B10559" t="str">
        <f>T("   Produits de toute espèce à usage de colles ou d'adhésifs, conditionnés pour la vente au détail comme colles ou adhésifs, d'un poids net &lt;= 1 kg")</f>
        <v xml:space="preserve">   Produits de toute espèce à usage de colles ou d'adhésifs, conditionnés pour la vente au détail comme colles ou adhésifs, d'un poids net &lt;= 1 kg</v>
      </c>
      <c r="C10559">
        <v>3730</v>
      </c>
      <c r="D10559">
        <v>1</v>
      </c>
    </row>
    <row r="10560" spans="1:4" x14ac:dyDescent="0.25">
      <c r="A10560" t="str">
        <f>T("   382200")</f>
        <v xml:space="preserve">   382200</v>
      </c>
      <c r="B10560" t="s">
        <v>125</v>
      </c>
      <c r="C10560">
        <v>3046270</v>
      </c>
      <c r="D10560">
        <v>117</v>
      </c>
    </row>
    <row r="10561" spans="1:4" x14ac:dyDescent="0.25">
      <c r="A10561" t="str">
        <f>T("   390110")</f>
        <v xml:space="preserve">   390110</v>
      </c>
      <c r="B10561" t="str">
        <f>T("   Polyéthylène d'une densité &lt; 0,94, sous formes primaires")</f>
        <v xml:space="preserve">   Polyéthylène d'une densité &lt; 0,94, sous formes primaires</v>
      </c>
      <c r="C10561">
        <v>63091222</v>
      </c>
      <c r="D10561">
        <v>87850</v>
      </c>
    </row>
    <row r="10562" spans="1:4" x14ac:dyDescent="0.25">
      <c r="A10562" t="str">
        <f>T("   390120")</f>
        <v xml:space="preserve">   390120</v>
      </c>
      <c r="B10562" t="str">
        <f>T("   Polyéthylène d'une densité &gt;= 0,94, sous formes primaires")</f>
        <v xml:space="preserve">   Polyéthylène d'une densité &gt;= 0,94, sous formes primaires</v>
      </c>
      <c r="C10562">
        <v>40683204</v>
      </c>
      <c r="D10562">
        <v>52810</v>
      </c>
    </row>
    <row r="10563" spans="1:4" x14ac:dyDescent="0.25">
      <c r="A10563" t="str">
        <f>T("   390190")</f>
        <v xml:space="preserve">   390190</v>
      </c>
      <c r="B10563" t="str">
        <f>T("   Polymères de l'éthylène, sous formes primaires (à l'excl. du polyéthylène ainsi que des copolymères d'éthylène et d'acétate de vinyle)")</f>
        <v xml:space="preserve">   Polymères de l'éthylène, sous formes primaires (à l'excl. du polyéthylène ainsi que des copolymères d'éthylène et d'acétate de vinyle)</v>
      </c>
      <c r="C10563">
        <v>111397354</v>
      </c>
      <c r="D10563">
        <v>332640</v>
      </c>
    </row>
    <row r="10564" spans="1:4" x14ac:dyDescent="0.25">
      <c r="A10564" t="str">
        <f>T("   390410")</f>
        <v xml:space="preserve">   390410</v>
      </c>
      <c r="B10564" t="str">
        <f>T("   Poly[chlorure de vinyle], sous formes primaires, non mélangé à d'autres substances")</f>
        <v xml:space="preserve">   Poly[chlorure de vinyle], sous formes primaires, non mélangé à d'autres substances</v>
      </c>
      <c r="C10564">
        <v>287643052</v>
      </c>
      <c r="D10564">
        <v>613819</v>
      </c>
    </row>
    <row r="10565" spans="1:4" x14ac:dyDescent="0.25">
      <c r="A10565" t="str">
        <f>T("   391990")</f>
        <v xml:space="preserve">   391990</v>
      </c>
      <c r="B10565" t="s">
        <v>130</v>
      </c>
      <c r="C10565">
        <v>36734</v>
      </c>
      <c r="D10565">
        <v>90</v>
      </c>
    </row>
    <row r="10566" spans="1:4" x14ac:dyDescent="0.25">
      <c r="A10566" t="str">
        <f>T("   392290")</f>
        <v xml:space="preserve">   392290</v>
      </c>
      <c r="B10566" t="str">
        <f>T("   Bidets, cuvettes d'aisance, réservoirs de chasse et articles simil. pour usages sanitaires ou hygiéniques, en matières plastiques (à l'excl. des baignoires, des douches, d'éviers, des lavabos ainsi que des sièges et couvercles de cuvettes d'aisance)")</f>
        <v xml:space="preserve">   Bidets, cuvettes d'aisance, réservoirs de chasse et articles simil. pour usages sanitaires ou hygiéniques, en matières plastiques (à l'excl. des baignoires, des douches, d'éviers, des lavabos ainsi que des sièges et couvercles de cuvettes d'aisance)</v>
      </c>
      <c r="C10566">
        <v>429018</v>
      </c>
      <c r="D10566">
        <v>1450</v>
      </c>
    </row>
    <row r="10567" spans="1:4" x14ac:dyDescent="0.25">
      <c r="A10567" t="str">
        <f>T("   392321")</f>
        <v xml:space="preserve">   392321</v>
      </c>
      <c r="B10567" t="str">
        <f>T("   Sacs, sachets, pochettes et cornets, en polymères de l'éthylène")</f>
        <v xml:space="preserve">   Sacs, sachets, pochettes et cornets, en polymères de l'éthylène</v>
      </c>
      <c r="C10567">
        <v>43694</v>
      </c>
      <c r="D10567">
        <v>4</v>
      </c>
    </row>
    <row r="10568" spans="1:4" x14ac:dyDescent="0.25">
      <c r="A10568" t="str">
        <f>T("   392330")</f>
        <v xml:space="preserve">   392330</v>
      </c>
      <c r="B10568" t="str">
        <f>T("   Bonbonnes, bouteilles, flacons et articles simil. pour le transport ou l'emballage, en matières plastiques")</f>
        <v xml:space="preserve">   Bonbonnes, bouteilles, flacons et articles simil. pour le transport ou l'emballage, en matières plastiques</v>
      </c>
      <c r="C10568">
        <v>150000</v>
      </c>
      <c r="D10568">
        <v>171</v>
      </c>
    </row>
    <row r="10569" spans="1:4" x14ac:dyDescent="0.25">
      <c r="A10569" t="str">
        <f>T("   392410")</f>
        <v xml:space="preserve">   392410</v>
      </c>
      <c r="B10569" t="str">
        <f>T("   Vaisselle et autres articles pour le service de la table ou de la cuisine, en matières plastiques")</f>
        <v xml:space="preserve">   Vaisselle et autres articles pour le service de la table ou de la cuisine, en matières plastiques</v>
      </c>
      <c r="C10569">
        <v>8447142</v>
      </c>
      <c r="D10569">
        <v>1646</v>
      </c>
    </row>
    <row r="10570" spans="1:4" x14ac:dyDescent="0.25">
      <c r="A10570" t="str">
        <f>T("   392490")</f>
        <v xml:space="preserve">   392490</v>
      </c>
      <c r="B10570" t="s">
        <v>145</v>
      </c>
      <c r="C10570">
        <v>4477092</v>
      </c>
      <c r="D10570">
        <v>3475</v>
      </c>
    </row>
    <row r="10571" spans="1:4" x14ac:dyDescent="0.25">
      <c r="A10571" t="str">
        <f>T("   392610")</f>
        <v xml:space="preserve">   392610</v>
      </c>
      <c r="B10571" t="str">
        <f>T("   Articles de bureau et articles scolaires, en matières plastiques, n.d.a.")</f>
        <v xml:space="preserve">   Articles de bureau et articles scolaires, en matières plastiques, n.d.a.</v>
      </c>
      <c r="C10571">
        <v>28241</v>
      </c>
      <c r="D10571">
        <v>3</v>
      </c>
    </row>
    <row r="10572" spans="1:4" x14ac:dyDescent="0.25">
      <c r="A10572" t="str">
        <f>T("   392690")</f>
        <v xml:space="preserve">   392690</v>
      </c>
      <c r="B10572" t="str">
        <f>T("   Ouvrages en matières plastiques et ouvrages en autres matières du n° 3901 à 3914, n.d.a.")</f>
        <v xml:space="preserve">   Ouvrages en matières plastiques et ouvrages en autres matières du n° 3901 à 3914, n.d.a.</v>
      </c>
      <c r="C10572">
        <v>1023980</v>
      </c>
      <c r="D10572">
        <v>2756</v>
      </c>
    </row>
    <row r="10573" spans="1:4" x14ac:dyDescent="0.25">
      <c r="A10573" t="str">
        <f>T("   400829")</f>
        <v xml:space="preserve">   400829</v>
      </c>
      <c r="B10573" t="str">
        <f>T("   Baguettes et profilés, en caoutchouc non alvéolaire non durci")</f>
        <v xml:space="preserve">   Baguettes et profilés, en caoutchouc non alvéolaire non durci</v>
      </c>
      <c r="C10573">
        <v>90398</v>
      </c>
      <c r="D10573">
        <v>6</v>
      </c>
    </row>
    <row r="10574" spans="1:4" x14ac:dyDescent="0.25">
      <c r="A10574" t="str">
        <f>T("   400911")</f>
        <v xml:space="preserve">   400911</v>
      </c>
      <c r="B10574" t="str">
        <f>T("   Tubes et tuyaux en caoutchouc vulcanisé non durci, non renforcés à l'aide d'autres matières ni autrement associés à d'autres matières, sans accessoires")</f>
        <v xml:space="preserve">   Tubes et tuyaux en caoutchouc vulcanisé non durci, non renforcés à l'aide d'autres matières ni autrement associés à d'autres matières, sans accessoires</v>
      </c>
      <c r="C10574">
        <v>2671482</v>
      </c>
      <c r="D10574">
        <v>163</v>
      </c>
    </row>
    <row r="10575" spans="1:4" x14ac:dyDescent="0.25">
      <c r="A10575" t="str">
        <f>T("   401039")</f>
        <v xml:space="preserve">   401039</v>
      </c>
      <c r="B10575" t="s">
        <v>154</v>
      </c>
      <c r="C10575">
        <v>978813</v>
      </c>
      <c r="D10575">
        <v>49</v>
      </c>
    </row>
    <row r="10576" spans="1:4" x14ac:dyDescent="0.25">
      <c r="A10576" t="str">
        <f>T("   401110")</f>
        <v xml:space="preserve">   401110</v>
      </c>
      <c r="B10576" t="str">
        <f>T("   Pneumatiques neufs, en caoutchouc, des types utilisés pour les voitures de tourisme, y.c. les voitures du type 'break' et les voitures de course")</f>
        <v xml:space="preserve">   Pneumatiques neufs, en caoutchouc, des types utilisés pour les voitures de tourisme, y.c. les voitures du type 'break' et les voitures de course</v>
      </c>
      <c r="C10576">
        <v>55644130</v>
      </c>
      <c r="D10576">
        <v>14596</v>
      </c>
    </row>
    <row r="10577" spans="1:4" x14ac:dyDescent="0.25">
      <c r="A10577" t="str">
        <f>T("   401120")</f>
        <v xml:space="preserve">   401120</v>
      </c>
      <c r="B10577" t="str">
        <f>T("   Pneumatiques neufs, en caoutchouc, des types utilisés pour les autobus ou les camions (à l'excl. des pneumatiques à crampons, à chevrons ou simil.)")</f>
        <v xml:space="preserve">   Pneumatiques neufs, en caoutchouc, des types utilisés pour les autobus ou les camions (à l'excl. des pneumatiques à crampons, à chevrons ou simil.)</v>
      </c>
      <c r="C10577">
        <v>6549333</v>
      </c>
      <c r="D10577">
        <v>578</v>
      </c>
    </row>
    <row r="10578" spans="1:4" x14ac:dyDescent="0.25">
      <c r="A10578" t="str">
        <f>T("   401199")</f>
        <v xml:space="preserve">   401199</v>
      </c>
      <c r="B10578" t="s">
        <v>155</v>
      </c>
      <c r="C10578">
        <v>38440569</v>
      </c>
      <c r="D10578">
        <v>9413</v>
      </c>
    </row>
    <row r="10579" spans="1:4" x14ac:dyDescent="0.25">
      <c r="A10579" t="str">
        <f>T("   401211")</f>
        <v xml:space="preserve">   401211</v>
      </c>
      <c r="B10579" t="str">
        <f>T("   Pneumatiques rechapés, en caoutchouc, des types utilisés pour les voitures de tourisme, y.c. les voitures du type 'break' et les voitures de course")</f>
        <v xml:space="preserve">   Pneumatiques rechapés, en caoutchouc, des types utilisés pour les voitures de tourisme, y.c. les voitures du type 'break' et les voitures de course</v>
      </c>
      <c r="C10579">
        <v>4410000</v>
      </c>
      <c r="D10579">
        <v>1100</v>
      </c>
    </row>
    <row r="10580" spans="1:4" x14ac:dyDescent="0.25">
      <c r="A10580" t="str">
        <f>T("   401219")</f>
        <v xml:space="preserve">   401219</v>
      </c>
      <c r="B10580" t="str">
        <f>T("   Pneumatiques rechapés, en caoutchouc (à l'excl. des pneumatiques des types utilisés pour les voitures de tourisme, les voitures du type 'break', les voitures de course, les autobus, les camions ou les véhicules aériens)")</f>
        <v xml:space="preserve">   Pneumatiques rechapés, en caoutchouc (à l'excl. des pneumatiques des types utilisés pour les voitures de tourisme, les voitures du type 'break', les voitures de course, les autobus, les camions ou les véhicules aériens)</v>
      </c>
      <c r="C10580">
        <v>5031869</v>
      </c>
      <c r="D10580">
        <v>11100</v>
      </c>
    </row>
    <row r="10581" spans="1:4" x14ac:dyDescent="0.25">
      <c r="A10581" t="str">
        <f>T("   401220")</f>
        <v xml:space="preserve">   401220</v>
      </c>
      <c r="B10581" t="str">
        <f>T("   Pneumatiques usagés, en caoutchouc")</f>
        <v xml:space="preserve">   Pneumatiques usagés, en caoutchouc</v>
      </c>
      <c r="C10581">
        <v>26792370</v>
      </c>
      <c r="D10581">
        <v>56774</v>
      </c>
    </row>
    <row r="10582" spans="1:4" x14ac:dyDescent="0.25">
      <c r="A10582" t="str">
        <f>T("   401590")</f>
        <v xml:space="preserve">   401590</v>
      </c>
      <c r="B10582" t="str">
        <f>T("   Vêtements et accessoires du vêtement en caoutchouc vulcanisé non durci, pour tous usages (à l'excl. des gants, mitaines et moufles, des chaussures ou des coiffures ainsi que des parties de chaussures ou de coiffures)")</f>
        <v xml:space="preserve">   Vêtements et accessoires du vêtement en caoutchouc vulcanisé non durci, pour tous usages (à l'excl. des gants, mitaines et moufles, des chaussures ou des coiffures ainsi que des parties de chaussures ou de coiffures)</v>
      </c>
      <c r="C10582">
        <v>45282</v>
      </c>
      <c r="D10582">
        <v>2</v>
      </c>
    </row>
    <row r="10583" spans="1:4" x14ac:dyDescent="0.25">
      <c r="A10583" t="str">
        <f>T("   401693")</f>
        <v xml:space="preserve">   401693</v>
      </c>
      <c r="B10583" t="str">
        <f>T("   Joints en caoutchouc vulcanisé non durci (à l'excl. des articles en caoutchouc alvéolaire)")</f>
        <v xml:space="preserve">   Joints en caoutchouc vulcanisé non durci (à l'excl. des articles en caoutchouc alvéolaire)</v>
      </c>
      <c r="C10583">
        <v>877019</v>
      </c>
      <c r="D10583">
        <v>44</v>
      </c>
    </row>
    <row r="10584" spans="1:4" x14ac:dyDescent="0.25">
      <c r="A10584" t="str">
        <f>T("   401699")</f>
        <v xml:space="preserve">   401699</v>
      </c>
      <c r="B10584" t="str">
        <f>T("   OUVRAGES EN CAOUTCHOUC VULCANISÉ NON-DURCI, N.D.A.")</f>
        <v xml:space="preserve">   OUVRAGES EN CAOUTCHOUC VULCANISÉ NON-DURCI, N.D.A.</v>
      </c>
      <c r="C10584">
        <v>423664</v>
      </c>
      <c r="D10584">
        <v>24</v>
      </c>
    </row>
    <row r="10585" spans="1:4" x14ac:dyDescent="0.25">
      <c r="A10585" t="str">
        <f>T("   420219")</f>
        <v xml:space="preserve">   420219</v>
      </c>
      <c r="B10585" t="s">
        <v>161</v>
      </c>
      <c r="C10585">
        <v>2083268</v>
      </c>
      <c r="D10585">
        <v>6600</v>
      </c>
    </row>
    <row r="10586" spans="1:4" x14ac:dyDescent="0.25">
      <c r="A10586" t="str">
        <f>T("   420222")</f>
        <v xml:space="preserve">   420222</v>
      </c>
      <c r="B10586" t="str">
        <f>T("   Sacs à main, même à bandoulière, y.c. ceux sans poignée, à surface extérieure en feuilles de matières plastiques ou en matières textiles")</f>
        <v xml:space="preserve">   Sacs à main, même à bandoulière, y.c. ceux sans poignée, à surface extérieure en feuilles de matières plastiques ou en matières textiles</v>
      </c>
      <c r="C10586">
        <v>8115448</v>
      </c>
      <c r="D10586">
        <v>1500</v>
      </c>
    </row>
    <row r="10587" spans="1:4" x14ac:dyDescent="0.25">
      <c r="A10587" t="str">
        <f>T("   420229")</f>
        <v xml:space="preserve">   420229</v>
      </c>
      <c r="B10587" t="str">
        <f>T("   Sacs à main, même à bandoulière, y.c. ceux sans poignée, à surface extérieure en fibre vulcanisée ou en carton, ou recouverts, en totalité ou en majeure partie, de ces mêmes matières ou de papier")</f>
        <v xml:space="preserve">   Sacs à main, même à bandoulière, y.c. ceux sans poignée, à surface extérieure en fibre vulcanisée ou en carton, ou recouverts, en totalité ou en majeure partie, de ces mêmes matières ou de papier</v>
      </c>
      <c r="C10587">
        <v>3033749</v>
      </c>
      <c r="D10587">
        <v>6574</v>
      </c>
    </row>
    <row r="10588" spans="1:4" x14ac:dyDescent="0.25">
      <c r="A10588" t="str">
        <f>T("   420299")</f>
        <v xml:space="preserve">   420299</v>
      </c>
      <c r="B10588" t="s">
        <v>164</v>
      </c>
      <c r="C10588">
        <v>3250422</v>
      </c>
      <c r="D10588">
        <v>4500</v>
      </c>
    </row>
    <row r="10589" spans="1:4" x14ac:dyDescent="0.25">
      <c r="A10589" t="str">
        <f>T("   420330")</f>
        <v xml:space="preserve">   420330</v>
      </c>
      <c r="B10589" t="str">
        <f>T("   Ceintures, ceinturons et baudriers, en cuir naturel ou reconstitué")</f>
        <v xml:space="preserve">   Ceintures, ceinturons et baudriers, en cuir naturel ou reconstitué</v>
      </c>
      <c r="C10589">
        <v>47456</v>
      </c>
      <c r="D10589">
        <v>74</v>
      </c>
    </row>
    <row r="10590" spans="1:4" x14ac:dyDescent="0.25">
      <c r="A10590" t="str">
        <f>T("   441510")</f>
        <v xml:space="preserve">   441510</v>
      </c>
      <c r="B10590" t="str">
        <f>T("   Caisses, caissettes, cageots, cylindres et emballages simil., en bois; tambours [tourets] pour câbles, en bois")</f>
        <v xml:space="preserve">   Caisses, caissettes, cageots, cylindres et emballages simil., en bois; tambours [tourets] pour câbles, en bois</v>
      </c>
      <c r="C10590">
        <v>4140</v>
      </c>
      <c r="D10590">
        <v>0.9</v>
      </c>
    </row>
    <row r="10591" spans="1:4" x14ac:dyDescent="0.25">
      <c r="A10591" t="str">
        <f>T("   481820")</f>
        <v xml:space="preserve">   481820</v>
      </c>
      <c r="B10591" t="str">
        <f>T("   Mouchoirs, serviettes à démaquiller et essuie-mains, en pâte à papier, papier, ouate de cellulose ou nappes de fibres de cellulose")</f>
        <v xml:space="preserve">   Mouchoirs, serviettes à démaquiller et essuie-mains, en pâte à papier, papier, ouate de cellulose ou nappes de fibres de cellulose</v>
      </c>
      <c r="C10591">
        <v>89211</v>
      </c>
      <c r="D10591">
        <v>95</v>
      </c>
    </row>
    <row r="10592" spans="1:4" x14ac:dyDescent="0.25">
      <c r="A10592" t="str">
        <f>T("   482010")</f>
        <v xml:space="preserve">   482010</v>
      </c>
      <c r="B10592" t="str">
        <f>T("   Registres, livres comptables, carnets de notes, de commandes ou de quittances, blocs-mémorandums, blocs de papier à lettres, agendas et ouvrages simil., en papier ou carton")</f>
        <v xml:space="preserve">   Registres, livres comptables, carnets de notes, de commandes ou de quittances, blocs-mémorandums, blocs de papier à lettres, agendas et ouvrages simil., en papier ou carton</v>
      </c>
      <c r="C10592">
        <v>1065417</v>
      </c>
      <c r="D10592">
        <v>727</v>
      </c>
    </row>
    <row r="10593" spans="1:4" x14ac:dyDescent="0.25">
      <c r="A10593" t="str">
        <f>T("   490110")</f>
        <v xml:space="preserve">   490110</v>
      </c>
      <c r="B10593" t="str">
        <f>T("   Livres, brochures et imprimés simil., en feuillets isolés, même pliés (à l'excl. des publications périodiques et des publications à usages principalement publicitaires)")</f>
        <v xml:space="preserve">   Livres, brochures et imprimés simil., en feuillets isolés, même pliés (à l'excl. des publications périodiques et des publications à usages principalement publicitaires)</v>
      </c>
      <c r="C10593">
        <v>183987</v>
      </c>
      <c r="D10593">
        <v>12</v>
      </c>
    </row>
    <row r="10594" spans="1:4" x14ac:dyDescent="0.25">
      <c r="A10594" t="str">
        <f>T("   490199")</f>
        <v xml:space="preserve">   490199</v>
      </c>
      <c r="B10594"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10594">
        <v>37938668</v>
      </c>
      <c r="D10594">
        <v>34065.050000000003</v>
      </c>
    </row>
    <row r="10595" spans="1:4" x14ac:dyDescent="0.25">
      <c r="A10595" t="str">
        <f>T("   490900")</f>
        <v xml:space="preserve">   490900</v>
      </c>
      <c r="B10595" t="str">
        <f>T("   Cartes postales imprimées ou illustrées; cartes imprimées comportant des voeux ou des messages personnels, même illustrées, avec ou sans enveloppes, garnitures ou applications")</f>
        <v xml:space="preserve">   Cartes postales imprimées ou illustrées; cartes imprimées comportant des voeux ou des messages personnels, même illustrées, avec ou sans enveloppes, garnitures ou applications</v>
      </c>
      <c r="C10595">
        <v>196351</v>
      </c>
      <c r="D10595">
        <v>32</v>
      </c>
    </row>
    <row r="10596" spans="1:4" x14ac:dyDescent="0.25">
      <c r="A10596" t="str">
        <f>T("   491000")</f>
        <v xml:space="preserve">   491000</v>
      </c>
      <c r="B10596" t="str">
        <f>T("   Calendriers de tous genres, imprimés, y.c. les blocs de calendriers à effeuiller")</f>
        <v xml:space="preserve">   Calendriers de tous genres, imprimés, y.c. les blocs de calendriers à effeuiller</v>
      </c>
      <c r="C10596">
        <v>35486</v>
      </c>
      <c r="D10596">
        <v>42</v>
      </c>
    </row>
    <row r="10597" spans="1:4" x14ac:dyDescent="0.25">
      <c r="A10597" t="str">
        <f>T("   491110")</f>
        <v xml:space="preserve">   491110</v>
      </c>
      <c r="B10597" t="str">
        <f>T("   Imprimés publicitaires, catalogues commerciaux et simil.")</f>
        <v xml:space="preserve">   Imprimés publicitaires, catalogues commerciaux et simil.</v>
      </c>
      <c r="C10597">
        <v>707616</v>
      </c>
      <c r="D10597">
        <v>1277</v>
      </c>
    </row>
    <row r="10598" spans="1:4" x14ac:dyDescent="0.25">
      <c r="A10598" t="str">
        <f>T("   491191")</f>
        <v xml:space="preserve">   491191</v>
      </c>
      <c r="B10598" t="str">
        <f>T("   Images, gravures et photographies, n.d.a.")</f>
        <v xml:space="preserve">   Images, gravures et photographies, n.d.a.</v>
      </c>
      <c r="C10598">
        <v>39834</v>
      </c>
      <c r="D10598">
        <v>80</v>
      </c>
    </row>
    <row r="10599" spans="1:4" x14ac:dyDescent="0.25">
      <c r="A10599" t="str">
        <f>T("   491199")</f>
        <v xml:space="preserve">   491199</v>
      </c>
      <c r="B10599" t="str">
        <f>T("   Imprimés, n.d.a.")</f>
        <v xml:space="preserve">   Imprimés, n.d.a.</v>
      </c>
      <c r="C10599">
        <v>154166</v>
      </c>
      <c r="D10599">
        <v>280</v>
      </c>
    </row>
    <row r="10600" spans="1:4" x14ac:dyDescent="0.25">
      <c r="A10600" t="str">
        <f>T("   520419")</f>
        <v xml:space="preserve">   520419</v>
      </c>
      <c r="B10600" t="str">
        <f>T("   Fils à coudre de coton, contenant en prédominance, mais &lt; 85% en poids de coton, non conditionnés pour la vente au détail")</f>
        <v xml:space="preserve">   Fils à coudre de coton, contenant en prédominance, mais &lt; 85% en poids de coton, non conditionnés pour la vente au détail</v>
      </c>
      <c r="C10600">
        <v>1860000</v>
      </c>
      <c r="D10600">
        <v>750</v>
      </c>
    </row>
    <row r="10601" spans="1:4" x14ac:dyDescent="0.25">
      <c r="A10601" t="str">
        <f>T("   560110")</f>
        <v xml:space="preserve">   560110</v>
      </c>
      <c r="B10601" t="str">
        <f>T("   Serviettes et tampons hygiéniques, couches pour bébés et articles hygiéniques simil., en ouates")</f>
        <v xml:space="preserve">   Serviettes et tampons hygiéniques, couches pour bébés et articles hygiéniques simil., en ouates</v>
      </c>
      <c r="C10601">
        <v>150000</v>
      </c>
      <c r="D10601">
        <v>38</v>
      </c>
    </row>
    <row r="10602" spans="1:4" x14ac:dyDescent="0.25">
      <c r="A10602" t="str">
        <f>T("   570390")</f>
        <v xml:space="preserve">   570390</v>
      </c>
      <c r="B10602" t="str">
        <f>T("   Tapis et autres revêtements de sol, de matières textiles végétales ou de poils grossiers, touffetés, même confectionnés")</f>
        <v xml:space="preserve">   Tapis et autres revêtements de sol, de matières textiles végétales ou de poils grossiers, touffetés, même confectionnés</v>
      </c>
      <c r="C10602">
        <v>371496</v>
      </c>
      <c r="D10602">
        <v>1800</v>
      </c>
    </row>
    <row r="10603" spans="1:4" x14ac:dyDescent="0.25">
      <c r="A10603" t="str">
        <f>T("   570500")</f>
        <v xml:space="preserve">   570500</v>
      </c>
      <c r="B10603" t="str">
        <f>T("   Tapis et autres revêtements de sol en matières textiles, même confectionnés (à l'excl. à points noués ou enroulés, tissés, touffetés ou en feutre)")</f>
        <v xml:space="preserve">   Tapis et autres revêtements de sol en matières textiles, même confectionnés (à l'excl. à points noués ou enroulés, tissés, touffetés ou en feutre)</v>
      </c>
      <c r="C10603">
        <v>90118</v>
      </c>
      <c r="D10603">
        <v>125</v>
      </c>
    </row>
    <row r="10604" spans="1:4" x14ac:dyDescent="0.25">
      <c r="A10604" t="str">
        <f>T("   581100")</f>
        <v xml:space="preserve">   581100</v>
      </c>
      <c r="B10604" t="s">
        <v>251</v>
      </c>
      <c r="C10604">
        <v>9996</v>
      </c>
      <c r="D10604">
        <v>15</v>
      </c>
    </row>
    <row r="10605" spans="1:4" x14ac:dyDescent="0.25">
      <c r="A10605" t="str">
        <f>T("   591000")</f>
        <v xml:space="preserve">   591000</v>
      </c>
      <c r="B10605" t="s">
        <v>256</v>
      </c>
      <c r="C10605">
        <v>788052</v>
      </c>
      <c r="D10605">
        <v>225</v>
      </c>
    </row>
    <row r="10606" spans="1:4" x14ac:dyDescent="0.25">
      <c r="A10606" t="str">
        <f>T("   610329")</f>
        <v xml:space="preserve">   610329</v>
      </c>
      <c r="B10606" t="str">
        <f>T("   Ensembles en bonneterie, de matières textiles, pour hommes et garçonnets (sauf de laine, poils fins, coton, fibres synthétiques et sauf ensembles de ski, maillots, culottes et slips de bain)")</f>
        <v xml:space="preserve">   Ensembles en bonneterie, de matières textiles, pour hommes et garçonnets (sauf de laine, poils fins, coton, fibres synthétiques et sauf ensembles de ski, maillots, culottes et slips de bain)</v>
      </c>
      <c r="C10606">
        <v>700706</v>
      </c>
      <c r="D10606">
        <v>1480</v>
      </c>
    </row>
    <row r="10607" spans="1:4" x14ac:dyDescent="0.25">
      <c r="A10607" t="str">
        <f>T("   610990")</f>
        <v xml:space="preserve">   610990</v>
      </c>
      <c r="B10607" t="str">
        <f>T("   T-shirts et maillots de corps, en bonneterie, de matières textiles (sauf de coton)")</f>
        <v xml:space="preserve">   T-shirts et maillots de corps, en bonneterie, de matières textiles (sauf de coton)</v>
      </c>
      <c r="C10607">
        <v>174590</v>
      </c>
      <c r="D10607">
        <v>143</v>
      </c>
    </row>
    <row r="10608" spans="1:4" x14ac:dyDescent="0.25">
      <c r="A10608" t="str">
        <f>T("   611190")</f>
        <v xml:space="preserve">   611190</v>
      </c>
      <c r="B10608" t="str">
        <f>T("   VÊTEMENTS ET ACCESSOIRES DU VÊTEMENT, EN BONNETERIE, DE MATIÈRES TEXTILES, POUR BÉBÉS (SAUF DE COTON, FIBRES SYNTHÉTIQUES ET SAUF BONNETS)")</f>
        <v xml:space="preserve">   VÊTEMENTS ET ACCESSOIRES DU VÊTEMENT, EN BONNETERIE, DE MATIÈRES TEXTILES, POUR BÉBÉS (SAUF DE COTON, FIBRES SYNTHÉTIQUES ET SAUF BONNETS)</v>
      </c>
      <c r="C10608">
        <v>506213</v>
      </c>
      <c r="D10608">
        <v>129</v>
      </c>
    </row>
    <row r="10609" spans="1:4" x14ac:dyDescent="0.25">
      <c r="A10609" t="str">
        <f>T("   611490")</f>
        <v xml:space="preserve">   611490</v>
      </c>
      <c r="B10609" t="str">
        <f>T("   Vêtements spéciaux destinés à des fins professionnelles, sportives ou autres n.d.a., en bonneterie, de matières textiles (sauf de laine, poils fins, coton, fibres synthétiques ou artificielles)")</f>
        <v xml:space="preserve">   Vêtements spéciaux destinés à des fins professionnelles, sportives ou autres n.d.a., en bonneterie, de matières textiles (sauf de laine, poils fins, coton, fibres synthétiques ou artificielles)</v>
      </c>
      <c r="C10609">
        <v>33343804</v>
      </c>
      <c r="D10609">
        <v>10471</v>
      </c>
    </row>
    <row r="10610" spans="1:4" x14ac:dyDescent="0.25">
      <c r="A10610" t="str">
        <f>T("   620520")</f>
        <v xml:space="preserve">   620520</v>
      </c>
      <c r="B10610" t="str">
        <f>T("   Chemises et chemisettes, de coton, pour hommes ou garçonnets (autres qu'en bonneterie et sauf chemises de nuit et gilets de corps)")</f>
        <v xml:space="preserve">   Chemises et chemisettes, de coton, pour hommes ou garçonnets (autres qu'en bonneterie et sauf chemises de nuit et gilets de corps)</v>
      </c>
      <c r="C10610">
        <v>39964</v>
      </c>
      <c r="D10610">
        <v>300</v>
      </c>
    </row>
    <row r="10611" spans="1:4" x14ac:dyDescent="0.25">
      <c r="A10611" t="str">
        <f>T("   620590")</f>
        <v xml:space="preserve">   620590</v>
      </c>
      <c r="B10611"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10611">
        <v>6038441</v>
      </c>
      <c r="D10611">
        <v>4623</v>
      </c>
    </row>
    <row r="10612" spans="1:4" x14ac:dyDescent="0.25">
      <c r="A10612" t="str">
        <f>T("   621040")</f>
        <v xml:space="preserve">   621040</v>
      </c>
      <c r="B10612" t="s">
        <v>272</v>
      </c>
      <c r="C10612">
        <v>8153176</v>
      </c>
      <c r="D10612">
        <v>18062.3</v>
      </c>
    </row>
    <row r="10613" spans="1:4" x14ac:dyDescent="0.25">
      <c r="A10613" t="str">
        <f>T("   621142")</f>
        <v xml:space="preserve">   621142</v>
      </c>
      <c r="B10613" t="str">
        <f>T("   Survêtements de sport 'trainings' et autres vêtements n.d.a., de coton, pour femmes ou fillettes (autres qu'en bonneterie)")</f>
        <v xml:space="preserve">   Survêtements de sport 'trainings' et autres vêtements n.d.a., de coton, pour femmes ou fillettes (autres qu'en bonneterie)</v>
      </c>
      <c r="C10613">
        <v>106571</v>
      </c>
      <c r="D10613">
        <v>7</v>
      </c>
    </row>
    <row r="10614" spans="1:4" x14ac:dyDescent="0.25">
      <c r="A10614" t="str">
        <f>T("   630190")</f>
        <v xml:space="preserve">   630190</v>
      </c>
      <c r="B10614" t="s">
        <v>275</v>
      </c>
      <c r="C10614">
        <v>230000</v>
      </c>
      <c r="D10614">
        <v>3600</v>
      </c>
    </row>
    <row r="10615" spans="1:4" x14ac:dyDescent="0.25">
      <c r="A10615" t="str">
        <f>T("   630229")</f>
        <v xml:space="preserve">   630229</v>
      </c>
      <c r="B10615" t="str">
        <f>T("   Linge de lit, de matières textiles, imprimé (autre que de coton, fibres synthétiques ou artificielles, autres qu'en bonneterie)")</f>
        <v xml:space="preserve">   Linge de lit, de matières textiles, imprimé (autre que de coton, fibres synthétiques ou artificielles, autres qu'en bonneterie)</v>
      </c>
      <c r="C10615">
        <v>175000</v>
      </c>
      <c r="D10615">
        <v>25</v>
      </c>
    </row>
    <row r="10616" spans="1:4" x14ac:dyDescent="0.25">
      <c r="A10616" t="str">
        <f>T("   630510")</f>
        <v xml:space="preserve">   630510</v>
      </c>
      <c r="B10616" t="str">
        <f>T("   Sacs et sachets d'emballage de jute ou d'autres fibres textiles libériennes du n° 5303")</f>
        <v xml:space="preserve">   Sacs et sachets d'emballage de jute ou d'autres fibres textiles libériennes du n° 5303</v>
      </c>
      <c r="C10616">
        <v>6562981</v>
      </c>
      <c r="D10616">
        <v>102152</v>
      </c>
    </row>
    <row r="10617" spans="1:4" x14ac:dyDescent="0.25">
      <c r="A10617" t="str">
        <f>T("   630533")</f>
        <v xml:space="preserve">   630533</v>
      </c>
      <c r="B10617" t="str">
        <f>T("   Sacs et sachets d'emballage obtenus à partir de lames ou formes simil., de polyéthylène ou polypropylène (à l'excl. des contenants souples pour matières en vrac)")</f>
        <v xml:space="preserve">   Sacs et sachets d'emballage obtenus à partir de lames ou formes simil., de polyéthylène ou polypropylène (à l'excl. des contenants souples pour matières en vrac)</v>
      </c>
      <c r="C10617">
        <v>7470000</v>
      </c>
      <c r="D10617">
        <v>40959</v>
      </c>
    </row>
    <row r="10618" spans="1:4" x14ac:dyDescent="0.25">
      <c r="A10618" t="str">
        <f>T("   630900")</f>
        <v xml:space="preserve">   630900</v>
      </c>
      <c r="B10618" t="s">
        <v>280</v>
      </c>
      <c r="C10618">
        <v>1094170090</v>
      </c>
      <c r="D10618">
        <v>1809820</v>
      </c>
    </row>
    <row r="10619" spans="1:4" x14ac:dyDescent="0.25">
      <c r="A10619" t="str">
        <f>T("   640299")</f>
        <v xml:space="preserve">   640299</v>
      </c>
      <c r="B10619" t="s">
        <v>285</v>
      </c>
      <c r="C10619">
        <v>6916000</v>
      </c>
      <c r="D10619">
        <v>22500</v>
      </c>
    </row>
    <row r="10620" spans="1:4" x14ac:dyDescent="0.25">
      <c r="A10620" t="str">
        <f>T("   640391")</f>
        <v xml:space="preserve">   640391</v>
      </c>
      <c r="B10620" t="s">
        <v>287</v>
      </c>
      <c r="C10620">
        <v>4150212</v>
      </c>
      <c r="D10620">
        <v>5180</v>
      </c>
    </row>
    <row r="10621" spans="1:4" x14ac:dyDescent="0.25">
      <c r="A10621" t="str">
        <f>T("   640590")</f>
        <v xml:space="preserve">   640590</v>
      </c>
      <c r="B10621" t="s">
        <v>290</v>
      </c>
      <c r="C10621">
        <v>441508</v>
      </c>
      <c r="D10621">
        <v>927</v>
      </c>
    </row>
    <row r="10622" spans="1:4" x14ac:dyDescent="0.25">
      <c r="A10622" t="str">
        <f>T("   660110")</f>
        <v xml:space="preserve">   660110</v>
      </c>
      <c r="B10622" t="str">
        <f>T("   Parasols de jardin et articles simil. (sauf tentes de plage)")</f>
        <v xml:space="preserve">   Parasols de jardin et articles simil. (sauf tentes de plage)</v>
      </c>
      <c r="C10622">
        <v>489971</v>
      </c>
      <c r="D10622">
        <v>1156</v>
      </c>
    </row>
    <row r="10623" spans="1:4" x14ac:dyDescent="0.25">
      <c r="A10623" t="str">
        <f>T("   690890")</f>
        <v xml:space="preserve">   690890</v>
      </c>
      <c r="B10623" t="s">
        <v>311</v>
      </c>
      <c r="C10623">
        <v>2091372</v>
      </c>
      <c r="D10623">
        <v>8795</v>
      </c>
    </row>
    <row r="10624" spans="1:4" x14ac:dyDescent="0.25">
      <c r="A10624" t="str">
        <f>T("   691090")</f>
        <v xml:space="preserve">   691090</v>
      </c>
      <c r="B10624" t="s">
        <v>313</v>
      </c>
      <c r="C10624">
        <v>550250</v>
      </c>
      <c r="D10624">
        <v>6297</v>
      </c>
    </row>
    <row r="10625" spans="1:4" x14ac:dyDescent="0.25">
      <c r="A10625" t="str">
        <f>T("   691200")</f>
        <v xml:space="preserve">   691200</v>
      </c>
      <c r="B10625" t="s">
        <v>316</v>
      </c>
      <c r="C10625">
        <v>5040466</v>
      </c>
      <c r="D10625">
        <v>7229</v>
      </c>
    </row>
    <row r="10626" spans="1:4" x14ac:dyDescent="0.25">
      <c r="A10626" t="str">
        <f>T("   700719")</f>
        <v xml:space="preserve">   700719</v>
      </c>
      <c r="B10626" t="s">
        <v>320</v>
      </c>
      <c r="C10626">
        <v>186293</v>
      </c>
      <c r="D10626">
        <v>10</v>
      </c>
    </row>
    <row r="10627" spans="1:4" x14ac:dyDescent="0.25">
      <c r="A10627" t="str">
        <f>T("   701329")</f>
        <v xml:space="preserve">   701329</v>
      </c>
      <c r="B10627" t="str">
        <f>T("   Verres à boire (autres qu'en vitrocérame, autres qu'en cristal au plomb)")</f>
        <v xml:space="preserve">   Verres à boire (autres qu'en vitrocérame, autres qu'en cristal au plomb)</v>
      </c>
      <c r="C10627">
        <v>5386163</v>
      </c>
      <c r="D10627">
        <v>14088</v>
      </c>
    </row>
    <row r="10628" spans="1:4" x14ac:dyDescent="0.25">
      <c r="A10628" t="str">
        <f>T("   730719")</f>
        <v xml:space="preserve">   730719</v>
      </c>
      <c r="B10628" t="str">
        <f>T("   Accessoires de tuyauterie moulés en fonte, fer ou acier (sauf fonte non-malléable)")</f>
        <v xml:space="preserve">   Accessoires de tuyauterie moulés en fonte, fer ou acier (sauf fonte non-malléable)</v>
      </c>
      <c r="C10628">
        <v>827166</v>
      </c>
      <c r="D10628">
        <v>70</v>
      </c>
    </row>
    <row r="10629" spans="1:4" x14ac:dyDescent="0.25">
      <c r="A10629" t="str">
        <f>T("   730792")</f>
        <v xml:space="preserve">   730792</v>
      </c>
      <c r="B10629" t="str">
        <f>T("   Coudes, courbes et manchons en fer ou en aciers, filetés (autres que moulés ou en aciers inoxydables)")</f>
        <v xml:space="preserve">   Coudes, courbes et manchons en fer ou en aciers, filetés (autres que moulés ou en aciers inoxydables)</v>
      </c>
      <c r="C10629">
        <v>3790816</v>
      </c>
      <c r="D10629">
        <v>267</v>
      </c>
    </row>
    <row r="10630" spans="1:4" x14ac:dyDescent="0.25">
      <c r="A10630" t="str">
        <f>T("   731815")</f>
        <v xml:space="preserve">   731815</v>
      </c>
      <c r="B10630" t="s">
        <v>354</v>
      </c>
      <c r="C10630">
        <v>971384</v>
      </c>
      <c r="D10630">
        <v>103</v>
      </c>
    </row>
    <row r="10631" spans="1:4" x14ac:dyDescent="0.25">
      <c r="A10631" t="str">
        <f>T("   731819")</f>
        <v xml:space="preserve">   731819</v>
      </c>
      <c r="B10631" t="str">
        <f>T("   Articles de boulonnerie et de visserie, filetés, en fonte, fer ou acier, n.d.a.")</f>
        <v xml:space="preserve">   Articles de boulonnerie et de visserie, filetés, en fonte, fer ou acier, n.d.a.</v>
      </c>
      <c r="C10631">
        <v>467315</v>
      </c>
      <c r="D10631">
        <v>41</v>
      </c>
    </row>
    <row r="10632" spans="1:4" x14ac:dyDescent="0.25">
      <c r="A10632" t="str">
        <f>T("   731822")</f>
        <v xml:space="preserve">   731822</v>
      </c>
      <c r="B10632" t="str">
        <f>T("   Rondelles en fonte, fer ou acier (sauf rondelles destinées à faire ressort et autres rondelles de blocage)")</f>
        <v xml:space="preserve">   Rondelles en fonte, fer ou acier (sauf rondelles destinées à faire ressort et autres rondelles de blocage)</v>
      </c>
      <c r="C10632">
        <v>196631</v>
      </c>
      <c r="D10632">
        <v>3</v>
      </c>
    </row>
    <row r="10633" spans="1:4" x14ac:dyDescent="0.25">
      <c r="A10633" t="str">
        <f>T("   731824")</f>
        <v xml:space="preserve">   731824</v>
      </c>
      <c r="B10633" t="str">
        <f>T("   Goupilles, chevilles et clavettes en fonte, fer ou acier")</f>
        <v xml:space="preserve">   Goupilles, chevilles et clavettes en fonte, fer ou acier</v>
      </c>
      <c r="C10633">
        <v>563876</v>
      </c>
      <c r="D10633">
        <v>44</v>
      </c>
    </row>
    <row r="10634" spans="1:4" x14ac:dyDescent="0.25">
      <c r="A10634" t="str">
        <f>T("   732090")</f>
        <v xml:space="preserve">   732090</v>
      </c>
      <c r="B10634" t="s">
        <v>355</v>
      </c>
      <c r="C10634">
        <v>1618765</v>
      </c>
      <c r="D10634">
        <v>240</v>
      </c>
    </row>
    <row r="10635" spans="1:4" x14ac:dyDescent="0.25">
      <c r="A10635" t="str">
        <f>T("   732393")</f>
        <v xml:space="preserve">   732393</v>
      </c>
      <c r="B10635" t="s">
        <v>360</v>
      </c>
      <c r="C10635">
        <v>5126251</v>
      </c>
      <c r="D10635">
        <v>943</v>
      </c>
    </row>
    <row r="10636" spans="1:4" x14ac:dyDescent="0.25">
      <c r="A10636" t="str">
        <f>T("   732394")</f>
        <v xml:space="preserve">   732394</v>
      </c>
      <c r="B10636" t="s">
        <v>361</v>
      </c>
      <c r="C10636">
        <v>864703</v>
      </c>
      <c r="D10636">
        <v>1691</v>
      </c>
    </row>
    <row r="10637" spans="1:4" x14ac:dyDescent="0.25">
      <c r="A10637" t="str">
        <f>T("   732399")</f>
        <v xml:space="preserve">   732399</v>
      </c>
      <c r="B10637" t="s">
        <v>362</v>
      </c>
      <c r="C10637">
        <v>6854570</v>
      </c>
      <c r="D10637">
        <v>15070</v>
      </c>
    </row>
    <row r="10638" spans="1:4" x14ac:dyDescent="0.25">
      <c r="A10638" t="str">
        <f>T("   761699")</f>
        <v xml:space="preserve">   761699</v>
      </c>
      <c r="B10638" t="str">
        <f>T("   Ouvrages en aluminium, n.d.a.")</f>
        <v xml:space="preserve">   Ouvrages en aluminium, n.d.a.</v>
      </c>
      <c r="C10638">
        <v>922279</v>
      </c>
      <c r="D10638">
        <v>2</v>
      </c>
    </row>
    <row r="10639" spans="1:4" x14ac:dyDescent="0.25">
      <c r="A10639" t="str">
        <f>T("   820580")</f>
        <v xml:space="preserve">   820580</v>
      </c>
      <c r="B10639" t="str">
        <f>T("   Enclumes; forges portatives; meules avec bâtis, à main ou à pédale")</f>
        <v xml:space="preserve">   Enclumes; forges portatives; meules avec bâtis, à main ou à pédale</v>
      </c>
      <c r="C10639">
        <v>80000</v>
      </c>
      <c r="D10639">
        <v>70</v>
      </c>
    </row>
    <row r="10640" spans="1:4" x14ac:dyDescent="0.25">
      <c r="A10640" t="str">
        <f>T("   820600")</f>
        <v xml:space="preserve">   820600</v>
      </c>
      <c r="B10640" t="str">
        <f>T("   Outils d'au moins deux du n° 8202 à 8205, conditionnés en assortiments pour la vente au détail")</f>
        <v xml:space="preserve">   Outils d'au moins deux du n° 8202 à 8205, conditionnés en assortiments pour la vente au détail</v>
      </c>
      <c r="C10640">
        <v>3860702</v>
      </c>
      <c r="D10640">
        <v>718</v>
      </c>
    </row>
    <row r="10641" spans="1:4" x14ac:dyDescent="0.25">
      <c r="A10641" t="str">
        <f>T("   820713")</f>
        <v xml:space="preserve">   820713</v>
      </c>
      <c r="B10641" t="str">
        <f>T("   Outils de forage ou de sondage, interchangeables, avec partie travaillante en carbures métalliques frittés ou en cermets")</f>
        <v xml:space="preserve">   Outils de forage ou de sondage, interchangeables, avec partie travaillante en carbures métalliques frittés ou en cermets</v>
      </c>
      <c r="C10641">
        <v>4360518</v>
      </c>
      <c r="D10641">
        <v>190</v>
      </c>
    </row>
    <row r="10642" spans="1:4" x14ac:dyDescent="0.25">
      <c r="A10642" t="str">
        <f>T("   820790")</f>
        <v xml:space="preserve">   820790</v>
      </c>
      <c r="B10642" t="str">
        <f>T("   Outils interchangeables pour outillage à main, mécanique ou non, ou pour machines-outils, n.d.a.")</f>
        <v xml:space="preserve">   Outils interchangeables pour outillage à main, mécanique ou non, ou pour machines-outils, n.d.a.</v>
      </c>
      <c r="C10642">
        <v>2678165</v>
      </c>
      <c r="D10642">
        <v>145</v>
      </c>
    </row>
    <row r="10643" spans="1:4" x14ac:dyDescent="0.25">
      <c r="A10643" t="str">
        <f>T("   821599")</f>
        <v xml:space="preserve">   821599</v>
      </c>
      <c r="B10643" t="s">
        <v>374</v>
      </c>
      <c r="C10643">
        <v>3030283</v>
      </c>
      <c r="D10643">
        <v>178</v>
      </c>
    </row>
    <row r="10644" spans="1:4" x14ac:dyDescent="0.25">
      <c r="A10644" t="str">
        <f>T("   830140")</f>
        <v xml:space="preserve">   830140</v>
      </c>
      <c r="B10644" t="str">
        <f>T("   Serrures et verrous, en métaux communs (autres que cadenas et serrures des types utilisés pour véhicules automobiles ou meubles)")</f>
        <v xml:space="preserve">   Serrures et verrous, en métaux communs (autres que cadenas et serrures des types utilisés pour véhicules automobiles ou meubles)</v>
      </c>
      <c r="C10644">
        <v>1598568</v>
      </c>
      <c r="D10644">
        <v>1200</v>
      </c>
    </row>
    <row r="10645" spans="1:4" x14ac:dyDescent="0.25">
      <c r="A10645" t="str">
        <f>T("   830790")</f>
        <v xml:space="preserve">   830790</v>
      </c>
      <c r="B10645" t="str">
        <f>T("   Tuyaux flexibles en métaux communs autres que le fer ou l'acier, même avec accessoires")</f>
        <v xml:space="preserve">   Tuyaux flexibles en métaux communs autres que le fer ou l'acier, même avec accessoires</v>
      </c>
      <c r="C10645">
        <v>1361288</v>
      </c>
      <c r="D10645">
        <v>88</v>
      </c>
    </row>
    <row r="10646" spans="1:4" x14ac:dyDescent="0.25">
      <c r="A10646" t="str">
        <f>T("   830990")</f>
        <v xml:space="preserve">   830990</v>
      </c>
      <c r="B10646" t="str">
        <f>T("   Bouchons [y.c. les bouchons à pas de vis et les bouchons-verseurs], couvercles, capsules pour bouteilles, bondes filetées, plaques de bondes, scellés et autres accessoires d'emballage, en métaux communs (à l'excl. des bouchons-couronnes)")</f>
        <v xml:space="preserve">   Bouchons [y.c. les bouchons à pas de vis et les bouchons-verseurs], couvercles, capsules pour bouteilles, bondes filetées, plaques de bondes, scellés et autres accessoires d'emballage, en métaux communs (à l'excl. des bouchons-couronnes)</v>
      </c>
      <c r="C10646">
        <v>21194</v>
      </c>
      <c r="D10646">
        <v>1</v>
      </c>
    </row>
    <row r="10647" spans="1:4" x14ac:dyDescent="0.25">
      <c r="A10647" t="str">
        <f>T("   840790")</f>
        <v xml:space="preserve">   840790</v>
      </c>
      <c r="B10647" t="s">
        <v>387</v>
      </c>
      <c r="C10647">
        <v>250000</v>
      </c>
      <c r="D10647">
        <v>250</v>
      </c>
    </row>
    <row r="10648" spans="1:4" x14ac:dyDescent="0.25">
      <c r="A10648" t="str">
        <f>T("   840820")</f>
        <v xml:space="preserve">   840820</v>
      </c>
      <c r="B10648" t="s">
        <v>388</v>
      </c>
      <c r="C10648">
        <v>250221</v>
      </c>
      <c r="D10648">
        <v>500</v>
      </c>
    </row>
    <row r="10649" spans="1:4" x14ac:dyDescent="0.25">
      <c r="A10649" t="str">
        <f>T("   840991")</f>
        <v xml:space="preserve">   840991</v>
      </c>
      <c r="B10649" t="str">
        <f>T("   Parties reconnaissables comme étant exclusivement ou principalement destinées aux moteurs à piston à allumage par étincelles, n.d.a.")</f>
        <v xml:space="preserve">   Parties reconnaissables comme étant exclusivement ou principalement destinées aux moteurs à piston à allumage par étincelles, n.d.a.</v>
      </c>
      <c r="C10649">
        <v>1128055</v>
      </c>
      <c r="D10649">
        <v>19</v>
      </c>
    </row>
    <row r="10650" spans="1:4" x14ac:dyDescent="0.25">
      <c r="A10650" t="str">
        <f>T("   840999")</f>
        <v xml:space="preserve">   840999</v>
      </c>
      <c r="B10650" t="str">
        <f>T("   Parties reconnaissables comme étant exclusivement ou principalement destinées aux moteurs à piston à allumage par compression, n.d.a.")</f>
        <v xml:space="preserve">   Parties reconnaissables comme étant exclusivement ou principalement destinées aux moteurs à piston à allumage par compression, n.d.a.</v>
      </c>
      <c r="C10650">
        <v>21157648</v>
      </c>
      <c r="D10650">
        <v>1827</v>
      </c>
    </row>
    <row r="10651" spans="1:4" x14ac:dyDescent="0.25">
      <c r="A10651" t="str">
        <f>T("   841290")</f>
        <v xml:space="preserve">   841290</v>
      </c>
      <c r="B10651" t="str">
        <f>T("   PARTIES DE MOTEURS ET MACHINES MOTRICES NON-ÉLECTRIQUES, N.D.A.")</f>
        <v xml:space="preserve">   PARTIES DE MOTEURS ET MACHINES MOTRICES NON-ÉLECTRIQUES, N.D.A.</v>
      </c>
      <c r="C10651">
        <v>3019317</v>
      </c>
      <c r="D10651">
        <v>20</v>
      </c>
    </row>
    <row r="10652" spans="1:4" x14ac:dyDescent="0.25">
      <c r="A10652" t="str">
        <f>T("   841330")</f>
        <v xml:space="preserve">   841330</v>
      </c>
      <c r="B10652" t="str">
        <f>T("   Pompes à carburant, à huile ou à liquide de refroidissement pour moteurs à allumage par étincelles ou par compression")</f>
        <v xml:space="preserve">   Pompes à carburant, à huile ou à liquide de refroidissement pour moteurs à allumage par étincelles ou par compression</v>
      </c>
      <c r="C10652">
        <v>278763</v>
      </c>
      <c r="D10652">
        <v>1.6</v>
      </c>
    </row>
    <row r="10653" spans="1:4" x14ac:dyDescent="0.25">
      <c r="A10653" t="str">
        <f>T("   841360")</f>
        <v xml:space="preserve">   841360</v>
      </c>
      <c r="B10653" t="s">
        <v>391</v>
      </c>
      <c r="C10653">
        <v>3935967</v>
      </c>
      <c r="D10653">
        <v>200</v>
      </c>
    </row>
    <row r="10654" spans="1:4" x14ac:dyDescent="0.25">
      <c r="A10654" t="str">
        <f>T("   841370")</f>
        <v xml:space="preserve">   841370</v>
      </c>
      <c r="B10654" t="s">
        <v>392</v>
      </c>
      <c r="C10654">
        <v>10348505</v>
      </c>
      <c r="D10654">
        <v>3852</v>
      </c>
    </row>
    <row r="10655" spans="1:4" x14ac:dyDescent="0.25">
      <c r="A10655" t="str">
        <f>T("   841381")</f>
        <v xml:space="preserve">   841381</v>
      </c>
      <c r="B10655" t="s">
        <v>393</v>
      </c>
      <c r="C10655">
        <v>3792596</v>
      </c>
      <c r="D10655">
        <v>264</v>
      </c>
    </row>
    <row r="10656" spans="1:4" x14ac:dyDescent="0.25">
      <c r="A10656" t="str">
        <f>T("   841391")</f>
        <v xml:space="preserve">   841391</v>
      </c>
      <c r="B10656" t="str">
        <f>T("   Parties de pompes pour liquides, n.d.a.")</f>
        <v xml:space="preserve">   Parties de pompes pour liquides, n.d.a.</v>
      </c>
      <c r="C10656">
        <v>187120</v>
      </c>
      <c r="D10656">
        <v>5</v>
      </c>
    </row>
    <row r="10657" spans="1:4" x14ac:dyDescent="0.25">
      <c r="A10657" t="str">
        <f>T("   841430")</f>
        <v xml:space="preserve">   841430</v>
      </c>
      <c r="B10657" t="str">
        <f>T("   Compresseurs des types utilisés pour équipements frigorifiques")</f>
        <v xml:space="preserve">   Compresseurs des types utilisés pour équipements frigorifiques</v>
      </c>
      <c r="C10657">
        <v>1116131</v>
      </c>
      <c r="D10657">
        <v>571</v>
      </c>
    </row>
    <row r="10658" spans="1:4" x14ac:dyDescent="0.25">
      <c r="A10658" t="str">
        <f>T("   841440")</f>
        <v xml:space="preserve">   841440</v>
      </c>
      <c r="B10658" t="str">
        <f>T("   Compresseurs d'air montés sur châssis à roues et remorquables")</f>
        <v xml:space="preserve">   Compresseurs d'air montés sur châssis à roues et remorquables</v>
      </c>
      <c r="C10658">
        <v>2999980</v>
      </c>
      <c r="D10658">
        <v>12700</v>
      </c>
    </row>
    <row r="10659" spans="1:4" x14ac:dyDescent="0.25">
      <c r="A10659" t="str">
        <f>T("   841459")</f>
        <v xml:space="preserve">   841459</v>
      </c>
      <c r="B10659" t="str">
        <f>T("   Ventilateurs (sauf ventilateurs de table, de sol, muraux, plafonniers, de toitures ou de fenêtres, à moteur électrique incorporé, d'une puissance &lt;= 125 W)")</f>
        <v xml:space="preserve">   Ventilateurs (sauf ventilateurs de table, de sol, muraux, plafonniers, de toitures ou de fenêtres, à moteur électrique incorporé, d'une puissance &lt;= 125 W)</v>
      </c>
      <c r="C10659">
        <v>2251665</v>
      </c>
      <c r="D10659">
        <v>5097</v>
      </c>
    </row>
    <row r="10660" spans="1:4" x14ac:dyDescent="0.25">
      <c r="A10660" t="str">
        <f>T("   841510")</f>
        <v xml:space="preserve">   841510</v>
      </c>
      <c r="B10660" t="s">
        <v>395</v>
      </c>
      <c r="C10660">
        <v>50089</v>
      </c>
      <c r="D10660">
        <v>75</v>
      </c>
    </row>
    <row r="10661" spans="1:4" x14ac:dyDescent="0.25">
      <c r="A10661" t="str">
        <f>T("   841582")</f>
        <v xml:space="preserve">   841582</v>
      </c>
      <c r="B10661" t="s">
        <v>397</v>
      </c>
      <c r="C10661">
        <v>125288</v>
      </c>
      <c r="D10661">
        <v>150</v>
      </c>
    </row>
    <row r="10662" spans="1:4" x14ac:dyDescent="0.25">
      <c r="A10662" t="str">
        <f>T("   841810")</f>
        <v xml:space="preserve">   841810</v>
      </c>
      <c r="B10662" t="str">
        <f>T("   Réfrigérateurs et congélateurs-conservateurs combinés, avec portes extérieures séparées")</f>
        <v xml:space="preserve">   Réfrigérateurs et congélateurs-conservateurs combinés, avec portes extérieures séparées</v>
      </c>
      <c r="C10662">
        <v>1335000</v>
      </c>
      <c r="D10662">
        <v>2000</v>
      </c>
    </row>
    <row r="10663" spans="1:4" x14ac:dyDescent="0.25">
      <c r="A10663" t="str">
        <f>T("   841821")</f>
        <v xml:space="preserve">   841821</v>
      </c>
      <c r="B10663" t="str">
        <f>T("   Réfrigérateurs ménagers à compression")</f>
        <v xml:space="preserve">   Réfrigérateurs ménagers à compression</v>
      </c>
      <c r="C10663">
        <v>150000</v>
      </c>
      <c r="D10663">
        <v>2000</v>
      </c>
    </row>
    <row r="10664" spans="1:4" x14ac:dyDescent="0.25">
      <c r="A10664" t="str">
        <f>T("   841829")</f>
        <v xml:space="preserve">   841829</v>
      </c>
      <c r="B10664" t="str">
        <f>T("   Réfrigérateurs ménagers à absorption, non-électriques")</f>
        <v xml:space="preserve">   Réfrigérateurs ménagers à absorption, non-électriques</v>
      </c>
      <c r="C10664">
        <v>2030829</v>
      </c>
      <c r="D10664">
        <v>9248</v>
      </c>
    </row>
    <row r="10665" spans="1:4" x14ac:dyDescent="0.25">
      <c r="A10665" t="str">
        <f>T("   841850")</f>
        <v xml:space="preserve">   841850</v>
      </c>
      <c r="B10665" t="s">
        <v>400</v>
      </c>
      <c r="C10665">
        <v>7739321</v>
      </c>
      <c r="D10665">
        <v>1536</v>
      </c>
    </row>
    <row r="10666" spans="1:4" x14ac:dyDescent="0.25">
      <c r="A10666" t="str">
        <f>T("   841869")</f>
        <v xml:space="preserve">   841869</v>
      </c>
      <c r="B10666" t="str">
        <f>T("   Matériel, machines et appareils pour la production du froid ainsi que pompes à chaleur à absorption (autres que réfrigérateurs et meubles congélateurs-conservateurs)")</f>
        <v xml:space="preserve">   Matériel, machines et appareils pour la production du froid ainsi que pompes à chaleur à absorption (autres que réfrigérateurs et meubles congélateurs-conservateurs)</v>
      </c>
      <c r="C10666">
        <v>18072046</v>
      </c>
      <c r="D10666">
        <v>3586</v>
      </c>
    </row>
    <row r="10667" spans="1:4" x14ac:dyDescent="0.25">
      <c r="A10667" t="str">
        <f>T("   841981")</f>
        <v xml:space="preserve">   841981</v>
      </c>
      <c r="B10667" t="str">
        <f>T("   Appareils et dispositifs pour la préparation de boissons chaudes ou la cuisson ou le chauffage des aliments (sauf appareils domestiques)")</f>
        <v xml:space="preserve">   Appareils et dispositifs pour la préparation de boissons chaudes ou la cuisson ou le chauffage des aliments (sauf appareils domestiques)</v>
      </c>
      <c r="C10667">
        <v>26432627</v>
      </c>
      <c r="D10667">
        <v>1761</v>
      </c>
    </row>
    <row r="10668" spans="1:4" x14ac:dyDescent="0.25">
      <c r="A10668" t="str">
        <f>T("   842121")</f>
        <v xml:space="preserve">   842121</v>
      </c>
      <c r="B10668" t="str">
        <f>T("   Appareils pour la filtration ou l'épuration des eaux")</f>
        <v xml:space="preserve">   Appareils pour la filtration ou l'épuration des eaux</v>
      </c>
      <c r="C10668">
        <v>1338345</v>
      </c>
      <c r="D10668">
        <v>170</v>
      </c>
    </row>
    <row r="10669" spans="1:4" x14ac:dyDescent="0.25">
      <c r="A10669" t="str">
        <f>T("   842122")</f>
        <v xml:space="preserve">   842122</v>
      </c>
      <c r="B10669" t="str">
        <f>T("   Appareils pour la filtration ou l'épuration des boissons (autres que l'eau)")</f>
        <v xml:space="preserve">   Appareils pour la filtration ou l'épuration des boissons (autres que l'eau)</v>
      </c>
      <c r="C10669">
        <v>586135</v>
      </c>
      <c r="D10669">
        <v>17</v>
      </c>
    </row>
    <row r="10670" spans="1:4" x14ac:dyDescent="0.25">
      <c r="A10670" t="str">
        <f>T("   842123")</f>
        <v xml:space="preserve">   842123</v>
      </c>
      <c r="B10670" t="str">
        <f>T("   Appareils pour la filtration des huiles minérales et carburants pour les moteurs à allumage par étincelles ou par compression")</f>
        <v xml:space="preserve">   Appareils pour la filtration des huiles minérales et carburants pour les moteurs à allumage par étincelles ou par compression</v>
      </c>
      <c r="C10670">
        <v>8970391</v>
      </c>
      <c r="D10670">
        <v>311</v>
      </c>
    </row>
    <row r="10671" spans="1:4" x14ac:dyDescent="0.25">
      <c r="A10671" t="str">
        <f>T("   842129")</f>
        <v xml:space="preserve">   842129</v>
      </c>
      <c r="B10671" t="str">
        <f>T("   Appareils pour la filtration ou l'épuration des liquides (à l'excl. de l'eau ou des boissons, des huiles minérales et carburants pour les moteurs à allumage par étincelles ou par compression ainsi que les reins artificiels)")</f>
        <v xml:space="preserve">   Appareils pour la filtration ou l'épuration des liquides (à l'excl. de l'eau ou des boissons, des huiles minérales et carburants pour les moteurs à allumage par étincelles ou par compression ainsi que les reins artificiels)</v>
      </c>
      <c r="C10671">
        <v>1624984</v>
      </c>
      <c r="D10671">
        <v>38</v>
      </c>
    </row>
    <row r="10672" spans="1:4" x14ac:dyDescent="0.25">
      <c r="A10672" t="str">
        <f>T("   842131")</f>
        <v xml:space="preserve">   842131</v>
      </c>
      <c r="B10672" t="str">
        <f>T("   Filtres d'entrée d'air pour moteurs à allumage par étincelles ou par compression")</f>
        <v xml:space="preserve">   Filtres d'entrée d'air pour moteurs à allumage par étincelles ou par compression</v>
      </c>
      <c r="C10672">
        <v>2646143</v>
      </c>
      <c r="D10672">
        <v>131</v>
      </c>
    </row>
    <row r="10673" spans="1:4" x14ac:dyDescent="0.25">
      <c r="A10673" t="str">
        <f>T("   842139")</f>
        <v xml:space="preserve">   842139</v>
      </c>
      <c r="B10673" t="str">
        <f>T("   Appareils pour la filtration ou l'épuration des gaz (autres que pour la séparation isotopique et sauf les filtres d'entrée d'air pour moteurs à allumage par étincelles ou par compression)")</f>
        <v xml:space="preserve">   Appareils pour la filtration ou l'épuration des gaz (autres que pour la séparation isotopique et sauf les filtres d'entrée d'air pour moteurs à allumage par étincelles ou par compression)</v>
      </c>
      <c r="C10673">
        <v>319022</v>
      </c>
      <c r="D10673">
        <v>3</v>
      </c>
    </row>
    <row r="10674" spans="1:4" x14ac:dyDescent="0.25">
      <c r="A10674" t="str">
        <f>T("   842199")</f>
        <v xml:space="preserve">   842199</v>
      </c>
      <c r="B10674" t="str">
        <f>T("   Parties d'appareils pour la filtration ou l'épuration des liquides ou des gaz, n.d.a.")</f>
        <v xml:space="preserve">   Parties d'appareils pour la filtration ou l'épuration des liquides ou des gaz, n.d.a.</v>
      </c>
      <c r="C10674">
        <v>2208413</v>
      </c>
      <c r="D10674">
        <v>185</v>
      </c>
    </row>
    <row r="10675" spans="1:4" x14ac:dyDescent="0.25">
      <c r="A10675" t="str">
        <f>T("   842542")</f>
        <v xml:space="preserve">   842542</v>
      </c>
      <c r="B10675" t="str">
        <f>T("   Crics et vérins, hydrauliques (sauf élévateurs fixes des types utilisés dans les garages pour voitures)")</f>
        <v xml:space="preserve">   Crics et vérins, hydrauliques (sauf élévateurs fixes des types utilisés dans les garages pour voitures)</v>
      </c>
      <c r="C10675">
        <v>1016119</v>
      </c>
      <c r="D10675">
        <v>45</v>
      </c>
    </row>
    <row r="10676" spans="1:4" x14ac:dyDescent="0.25">
      <c r="A10676" t="str">
        <f>T("   842549")</f>
        <v xml:space="preserve">   842549</v>
      </c>
      <c r="B10676" t="str">
        <f>T("   Crics et vérins, non hydrauliques")</f>
        <v xml:space="preserve">   Crics et vérins, non hydrauliques</v>
      </c>
      <c r="C10676">
        <v>4851815</v>
      </c>
      <c r="D10676">
        <v>314</v>
      </c>
    </row>
    <row r="10677" spans="1:4" x14ac:dyDescent="0.25">
      <c r="A10677" t="str">
        <f>T("   842920")</f>
        <v xml:space="preserve">   842920</v>
      </c>
      <c r="B10677" t="str">
        <f>T("   Niveleuses autopropulsées")</f>
        <v xml:space="preserve">   Niveleuses autopropulsées</v>
      </c>
      <c r="C10677">
        <v>22001780</v>
      </c>
      <c r="D10677">
        <v>48080</v>
      </c>
    </row>
    <row r="10678" spans="1:4" x14ac:dyDescent="0.25">
      <c r="A10678" t="str">
        <f>T("   842952")</f>
        <v xml:space="preserve">   842952</v>
      </c>
      <c r="B10678" t="str">
        <f>T("   Pelles mécaniques, autopropulsées, dont la superstructure peut effectuer une rotation de 360°")</f>
        <v xml:space="preserve">   Pelles mécaniques, autopropulsées, dont la superstructure peut effectuer une rotation de 360°</v>
      </c>
      <c r="C10678">
        <v>8000833</v>
      </c>
      <c r="D10678">
        <v>15900</v>
      </c>
    </row>
    <row r="10679" spans="1:4" x14ac:dyDescent="0.25">
      <c r="A10679" t="str">
        <f>T("   843149")</f>
        <v xml:space="preserve">   843149</v>
      </c>
      <c r="B10679" t="str">
        <f>T("   Parties de machines et appareils du n° 8426, 8429 ou 8430, n.d.a.")</f>
        <v xml:space="preserve">   Parties de machines et appareils du n° 8426, 8429 ou 8430, n.d.a.</v>
      </c>
      <c r="C10679">
        <v>47529904</v>
      </c>
      <c r="D10679">
        <v>4851.6499999999996</v>
      </c>
    </row>
    <row r="10680" spans="1:4" x14ac:dyDescent="0.25">
      <c r="A10680" t="str">
        <f>T("   843319")</f>
        <v xml:space="preserve">   843319</v>
      </c>
      <c r="B10680" t="str">
        <f>T("   Tondeuses à gazon à moteur, dont le dispositif de coupe tourne dans un plan vertical, ou à barre de coupe")</f>
        <v xml:space="preserve">   Tondeuses à gazon à moteur, dont le dispositif de coupe tourne dans un plan vertical, ou à barre de coupe</v>
      </c>
      <c r="C10680">
        <v>159857</v>
      </c>
      <c r="D10680">
        <v>60</v>
      </c>
    </row>
    <row r="10681" spans="1:4" x14ac:dyDescent="0.25">
      <c r="A10681" t="str">
        <f>T("   843790")</f>
        <v xml:space="preserve">   843790</v>
      </c>
      <c r="B10681" t="str">
        <f>T("   Parties de machines et appareils de minoterie ou pour le traitement des céréales ou légumes secs ou pour le nettoyage, le triage ou le criblage des grains ou des légumes secs, n.d.a.")</f>
        <v xml:space="preserve">   Parties de machines et appareils de minoterie ou pour le traitement des céréales ou légumes secs ou pour le nettoyage, le triage ou le criblage des grains ou des légumes secs, n.d.a.</v>
      </c>
      <c r="C10681">
        <v>2146259</v>
      </c>
      <c r="D10681">
        <v>303</v>
      </c>
    </row>
    <row r="10682" spans="1:4" x14ac:dyDescent="0.25">
      <c r="A10682" t="str">
        <f>T("   844359")</f>
        <v xml:space="preserve">   844359</v>
      </c>
      <c r="B10682" t="s">
        <v>418</v>
      </c>
      <c r="C10682">
        <v>13244669</v>
      </c>
      <c r="D10682">
        <v>10000</v>
      </c>
    </row>
    <row r="10683" spans="1:4" x14ac:dyDescent="0.25">
      <c r="A10683" t="str">
        <f>T("   844390")</f>
        <v xml:space="preserve">   844390</v>
      </c>
      <c r="B10683" t="str">
        <f>T("   Parties de machines et appareils à imprimer et de leur machines et appareils auxiliaires, n.d.a.")</f>
        <v xml:space="preserve">   Parties de machines et appareils à imprimer et de leur machines et appareils auxiliaires, n.d.a.</v>
      </c>
      <c r="C10683">
        <v>853894</v>
      </c>
      <c r="D10683">
        <v>17</v>
      </c>
    </row>
    <row r="10684" spans="1:4" x14ac:dyDescent="0.25">
      <c r="A10684" t="str">
        <f>T("   844820")</f>
        <v xml:space="preserve">   844820</v>
      </c>
      <c r="B10684" t="str">
        <f>T("   Parties et accessoires des machines pour le filage -extrusion-, l'étirage, la texturation ou le tranchage des matières textiles synthétiques ou artificielles ou de leurs machines et appareils auxiliaires, n.d.a.")</f>
        <v xml:space="preserve">   Parties et accessoires des machines pour le filage -extrusion-, l'étirage, la texturation ou le tranchage des matières textiles synthétiques ou artificielles ou de leurs machines et appareils auxiliaires, n.d.a.</v>
      </c>
      <c r="C10684">
        <v>39364635</v>
      </c>
      <c r="D10684">
        <v>880</v>
      </c>
    </row>
    <row r="10685" spans="1:4" x14ac:dyDescent="0.25">
      <c r="A10685" t="str">
        <f>T("   844832")</f>
        <v xml:space="preserve">   844832</v>
      </c>
      <c r="B10685" t="str">
        <f>T("   PARTIES ET ACCESSOIRES DE MACHINES POUR LA PRÉPARATION DES MATIÈRES TEXTILES, N.D.A. (AUTRES QUE LES GARNITURES DE CARDÉS)")</f>
        <v xml:space="preserve">   PARTIES ET ACCESSOIRES DE MACHINES POUR LA PRÉPARATION DES MATIÈRES TEXTILES, N.D.A. (AUTRES QUE LES GARNITURES DE CARDÉS)</v>
      </c>
      <c r="C10685">
        <v>17007318</v>
      </c>
      <c r="D10685">
        <v>955</v>
      </c>
    </row>
    <row r="10686" spans="1:4" x14ac:dyDescent="0.25">
      <c r="A10686" t="str">
        <f>T("   844839")</f>
        <v xml:space="preserve">   844839</v>
      </c>
      <c r="B10686" t="str">
        <f>T("   Parties et accessoires des machines du n° 8445, n.d.a.")</f>
        <v xml:space="preserve">   Parties et accessoires des machines du n° 8445, n.d.a.</v>
      </c>
      <c r="C10686">
        <v>35974181</v>
      </c>
      <c r="D10686">
        <v>2845</v>
      </c>
    </row>
    <row r="10687" spans="1:4" x14ac:dyDescent="0.25">
      <c r="A10687" t="str">
        <f>T("   844849")</f>
        <v xml:space="preserve">   844849</v>
      </c>
      <c r="B10687" t="str">
        <f>T("   Parties et accessoires des métiers à tisser ou de leurs machines et appareils auxiliaires, n.d.a.")</f>
        <v xml:space="preserve">   Parties et accessoires des métiers à tisser ou de leurs machines et appareils auxiliaires, n.d.a.</v>
      </c>
      <c r="C10687">
        <v>405397</v>
      </c>
      <c r="D10687">
        <v>50</v>
      </c>
    </row>
    <row r="10688" spans="1:4" x14ac:dyDescent="0.25">
      <c r="A10688" t="str">
        <f>T("   845380")</f>
        <v xml:space="preserve">   845380</v>
      </c>
      <c r="B10688" t="str">
        <f>T("   Machines et appareils pour la fabrication ou la réparation des ouvrages en cuir ou en peau (autres que les chaussures et autres que les machines à coudre)")</f>
        <v xml:space="preserve">   Machines et appareils pour la fabrication ou la réparation des ouvrages en cuir ou en peau (autres que les chaussures et autres que les machines à coudre)</v>
      </c>
      <c r="C10688">
        <v>75435</v>
      </c>
      <c r="D10688">
        <v>50</v>
      </c>
    </row>
    <row r="10689" spans="1:4" x14ac:dyDescent="0.25">
      <c r="A10689" t="str">
        <f>T("   847110")</f>
        <v xml:space="preserve">   847110</v>
      </c>
      <c r="B10689" t="str">
        <f>T("   Machines automatiques de traitement de l'information, analogiques ou hybrides")</f>
        <v xml:space="preserve">   Machines automatiques de traitement de l'information, analogiques ou hybrides</v>
      </c>
      <c r="C10689">
        <v>2708002</v>
      </c>
      <c r="D10689">
        <v>12145</v>
      </c>
    </row>
    <row r="10690" spans="1:4" x14ac:dyDescent="0.25">
      <c r="A10690" t="str">
        <f>T("   847130")</f>
        <v xml:space="preserve">   847130</v>
      </c>
      <c r="B10690" t="str">
        <f>T("   Machines automatiques de traitement de l'information numériques, portatives, d'un poids &lt;= 10 kg, comportant au moins une unité centrale de traitement, un clavier et un écran (à l'excl. des unités périphériques)")</f>
        <v xml:space="preserve">   Machines automatiques de traitement de l'information numériques, portatives, d'un poids &lt;= 10 kg, comportant au moins une unité centrale de traitement, un clavier et un écran (à l'excl. des unités périphériques)</v>
      </c>
      <c r="C10690">
        <v>8799465</v>
      </c>
      <c r="D10690">
        <v>11300</v>
      </c>
    </row>
    <row r="10691" spans="1:4" x14ac:dyDescent="0.25">
      <c r="A10691" t="str">
        <f>T("   847141")</f>
        <v xml:space="preserve">   847141</v>
      </c>
      <c r="B10691" t="s">
        <v>433</v>
      </c>
      <c r="C10691">
        <v>6499802</v>
      </c>
      <c r="D10691">
        <v>1552</v>
      </c>
    </row>
    <row r="10692" spans="1:4" x14ac:dyDescent="0.25">
      <c r="A10692" t="str">
        <f>T("   847149")</f>
        <v xml:space="preserve">   847149</v>
      </c>
      <c r="B10692" t="s">
        <v>434</v>
      </c>
      <c r="C10692">
        <v>5213394</v>
      </c>
      <c r="D10692">
        <v>3112</v>
      </c>
    </row>
    <row r="10693" spans="1:4" x14ac:dyDescent="0.25">
      <c r="A10693" t="str">
        <f>T("   847160")</f>
        <v xml:space="preserve">   847160</v>
      </c>
      <c r="B10693" t="str">
        <f>T("   UNITÉS D'ENTRÉE OU DE SORTIE POUR MACHINES AUTOMATIQUES DE TRAITEMENT DE L'INFORMATION, POUVANT COMPORTER, SOUS LA MÊME ENVELOPPE, DES UNITÉS DE MÉMOIRE")</f>
        <v xml:space="preserve">   UNITÉS D'ENTRÉE OU DE SORTIE POUR MACHINES AUTOMATIQUES DE TRAITEMENT DE L'INFORMATION, POUVANT COMPORTER, SOUS LA MÊME ENVELOPPE, DES UNITÉS DE MÉMOIRE</v>
      </c>
      <c r="C10693">
        <v>1405072</v>
      </c>
      <c r="D10693">
        <v>44</v>
      </c>
    </row>
    <row r="10694" spans="1:4" x14ac:dyDescent="0.25">
      <c r="A10694" t="str">
        <f>T("   847180")</f>
        <v xml:space="preserve">   847180</v>
      </c>
      <c r="B10694" t="str">
        <f>T("   Unités de machines automatiques de traitement de l'information, numériques (à l'excl. des unités de traitement, unités d'entrée ou de sortie et unités de mémoire)")</f>
        <v xml:space="preserve">   Unités de machines automatiques de traitement de l'information, numériques (à l'excl. des unités de traitement, unités d'entrée ou de sortie et unités de mémoire)</v>
      </c>
      <c r="C10694">
        <v>15463196</v>
      </c>
      <c r="D10694">
        <v>8631</v>
      </c>
    </row>
    <row r="10695" spans="1:4" x14ac:dyDescent="0.25">
      <c r="A10695" t="str">
        <f>T("   847190")</f>
        <v xml:space="preserve">   847190</v>
      </c>
      <c r="B10695" t="str">
        <f>T("   Lecteurs magnétiques ou optiques, machines de mise d'informations sur support sous forme codée et machines de traitement de ces informations, n.d.a.")</f>
        <v xml:space="preserve">   Lecteurs magnétiques ou optiques, machines de mise d'informations sur support sous forme codée et machines de traitement de ces informations, n.d.a.</v>
      </c>
      <c r="C10695">
        <v>28216524</v>
      </c>
      <c r="D10695">
        <v>2692.04</v>
      </c>
    </row>
    <row r="10696" spans="1:4" x14ac:dyDescent="0.25">
      <c r="A10696" t="str">
        <f>T("   847330")</f>
        <v xml:space="preserve">   847330</v>
      </c>
      <c r="B10696" t="str">
        <f>T("   Parties et accessoires pour machines automatiques de traitement de l'information ou pour autres machines du n° 8471, n.d.a.")</f>
        <v xml:space="preserve">   Parties et accessoires pour machines automatiques de traitement de l'information ou pour autres machines du n° 8471, n.d.a.</v>
      </c>
      <c r="C10696">
        <v>2801331</v>
      </c>
      <c r="D10696">
        <v>18</v>
      </c>
    </row>
    <row r="10697" spans="1:4" x14ac:dyDescent="0.25">
      <c r="A10697" t="str">
        <f>T("   847340")</f>
        <v xml:space="preserve">   847340</v>
      </c>
      <c r="B10697" t="str">
        <f>T("   Parties et accessoires pour autres machines et appareils de bureau du n° 8472, n.d.a.")</f>
        <v xml:space="preserve">   Parties et accessoires pour autres machines et appareils de bureau du n° 8472, n.d.a.</v>
      </c>
      <c r="C10697">
        <v>1122384</v>
      </c>
      <c r="D10697">
        <v>5</v>
      </c>
    </row>
    <row r="10698" spans="1:4" x14ac:dyDescent="0.25">
      <c r="A10698" t="str">
        <f>T("   847431")</f>
        <v xml:space="preserve">   847431</v>
      </c>
      <c r="B10698" t="str">
        <f>T("   Bétonnières et appareils à gâcher le ciment (sauf montés sur wagons de chemins de fer ou sur châssis de véhicules automobiles)")</f>
        <v xml:space="preserve">   Bétonnières et appareils à gâcher le ciment (sauf montés sur wagons de chemins de fer ou sur châssis de véhicules automobiles)</v>
      </c>
      <c r="C10698">
        <v>200000</v>
      </c>
      <c r="D10698">
        <v>950</v>
      </c>
    </row>
    <row r="10699" spans="1:4" x14ac:dyDescent="0.25">
      <c r="A10699" t="str">
        <f>T("   847990")</f>
        <v xml:space="preserve">   847990</v>
      </c>
      <c r="B10699" t="str">
        <f>T("   Parties de machines et appareils, y.c. les appareils mécaniques, n.d.a.")</f>
        <v xml:space="preserve">   Parties de machines et appareils, y.c. les appareils mécaniques, n.d.a.</v>
      </c>
      <c r="C10699">
        <v>21805749</v>
      </c>
      <c r="D10699">
        <v>914</v>
      </c>
    </row>
    <row r="10700" spans="1:4" x14ac:dyDescent="0.25">
      <c r="A10700" t="str">
        <f>T("   848120")</f>
        <v xml:space="preserve">   848120</v>
      </c>
      <c r="B10700" t="str">
        <f>T("   Valves pour transmissions oléohydrauliques ou pneumatiques")</f>
        <v xml:space="preserve">   Valves pour transmissions oléohydrauliques ou pneumatiques</v>
      </c>
      <c r="C10700">
        <v>432784</v>
      </c>
      <c r="D10700">
        <v>10.5</v>
      </c>
    </row>
    <row r="10701" spans="1:4" x14ac:dyDescent="0.25">
      <c r="A10701" t="str">
        <f>T("   848180")</f>
        <v xml:space="preserve">   848180</v>
      </c>
      <c r="B10701" t="str">
        <f>T("   Articles de robinetterie et organes simil. pour tuyauteries, etc. (à l'excl. des détendeurs, valves pour transmissions oléohydrauliques ou pneumatiques, clapets et soupapes de retenue et sauf soupapes de trop-plein ou de sûreté)")</f>
        <v xml:space="preserve">   Articles de robinetterie et organes simil. pour tuyauteries, etc. (à l'excl. des détendeurs, valves pour transmissions oléohydrauliques ou pneumatiques, clapets et soupapes de retenue et sauf soupapes de trop-plein ou de sûreté)</v>
      </c>
      <c r="C10701">
        <v>3100851</v>
      </c>
      <c r="D10701">
        <v>77.25</v>
      </c>
    </row>
    <row r="10702" spans="1:4" x14ac:dyDescent="0.25">
      <c r="A10702" t="str">
        <f>T("   848280")</f>
        <v xml:space="preserve">   848280</v>
      </c>
      <c r="B10702" t="s">
        <v>442</v>
      </c>
      <c r="C10702">
        <v>6957068</v>
      </c>
      <c r="D10702">
        <v>28</v>
      </c>
    </row>
    <row r="10703" spans="1:4" x14ac:dyDescent="0.25">
      <c r="A10703" t="str">
        <f>T("   848299")</f>
        <v xml:space="preserve">   848299</v>
      </c>
      <c r="B10703" t="str">
        <f>T("   Parties de roulements à billes, à galets, à rouleaux ou à aiguilles (à l'excl. de leur organe de roulement), n.d.a.")</f>
        <v xml:space="preserve">   Parties de roulements à billes, à galets, à rouleaux ou à aiguilles (à l'excl. de leur organe de roulement), n.d.a.</v>
      </c>
      <c r="C10703">
        <v>24893756</v>
      </c>
      <c r="D10703">
        <v>1943</v>
      </c>
    </row>
    <row r="10704" spans="1:4" x14ac:dyDescent="0.25">
      <c r="A10704" t="str">
        <f>T("   848330")</f>
        <v xml:space="preserve">   848330</v>
      </c>
      <c r="B10704" t="str">
        <f>T("   Paliers pour machines, sans roulements incorporés; coussinets et coquilles de coussinets pour machines")</f>
        <v xml:space="preserve">   Paliers pour machines, sans roulements incorporés; coussinets et coquilles de coussinets pour machines</v>
      </c>
      <c r="C10704">
        <v>1140466</v>
      </c>
      <c r="D10704">
        <v>71</v>
      </c>
    </row>
    <row r="10705" spans="1:4" x14ac:dyDescent="0.25">
      <c r="A10705" t="str">
        <f>T("   848350")</f>
        <v xml:space="preserve">   848350</v>
      </c>
      <c r="B10705" t="str">
        <f>T("   Volants et poulies, y.c. les poulies à moufles")</f>
        <v xml:space="preserve">   Volants et poulies, y.c. les poulies à moufles</v>
      </c>
      <c r="C10705">
        <v>468869</v>
      </c>
      <c r="D10705">
        <v>29</v>
      </c>
    </row>
    <row r="10706" spans="1:4" x14ac:dyDescent="0.25">
      <c r="A10706" t="str">
        <f>T("   848360")</f>
        <v xml:space="preserve">   848360</v>
      </c>
      <c r="B10706" t="str">
        <f>T("   Embrayages et organes d'accouplement, y.c. les joints d'articulation, pour machines")</f>
        <v xml:space="preserve">   Embrayages et organes d'accouplement, y.c. les joints d'articulation, pour machines</v>
      </c>
      <c r="C10706">
        <v>1133773</v>
      </c>
      <c r="D10706">
        <v>117</v>
      </c>
    </row>
    <row r="10707" spans="1:4" x14ac:dyDescent="0.25">
      <c r="A10707" t="str">
        <f>T("   848390")</f>
        <v xml:space="preserve">   848390</v>
      </c>
      <c r="B10707" t="str">
        <f>T("   Roues dentées et autres organes élémentaires de transmission présentés séparément; parties d'organes mécaniques, d'organes de transmission, d'engrenages, de variateurs de vitesses, d'organes d'accouplement et d'autres organes du n° 8483, n.d.a.")</f>
        <v xml:space="preserve">   Roues dentées et autres organes élémentaires de transmission présentés séparément; parties d'organes mécaniques, d'organes de transmission, d'engrenages, de variateurs de vitesses, d'organes d'accouplement et d'autres organes du n° 8483, n.d.a.</v>
      </c>
      <c r="C10707">
        <v>1569162</v>
      </c>
      <c r="D10707">
        <v>36</v>
      </c>
    </row>
    <row r="10708" spans="1:4" x14ac:dyDescent="0.25">
      <c r="A10708" t="str">
        <f>T("   848490")</f>
        <v xml:space="preserve">   848490</v>
      </c>
      <c r="B10708" t="str">
        <f>T("   Jeux ou assortiments de joints de composition différente présentés en pochettes, enveloppes ou emballages analogues")</f>
        <v xml:space="preserve">   Jeux ou assortiments de joints de composition différente présentés en pochettes, enveloppes ou emballages analogues</v>
      </c>
      <c r="C10708">
        <v>5252738</v>
      </c>
      <c r="D10708">
        <v>160.5</v>
      </c>
    </row>
    <row r="10709" spans="1:4" x14ac:dyDescent="0.25">
      <c r="A10709" t="str">
        <f>T("   850134")</f>
        <v xml:space="preserve">   850134</v>
      </c>
      <c r="B10709" t="str">
        <f>T("   Moteurs et génératrices à courant continu, puissance &gt; 375 kW")</f>
        <v xml:space="preserve">   Moteurs et génératrices à courant continu, puissance &gt; 375 kW</v>
      </c>
      <c r="C10709">
        <v>885973</v>
      </c>
      <c r="D10709">
        <v>2</v>
      </c>
    </row>
    <row r="10710" spans="1:4" x14ac:dyDescent="0.25">
      <c r="A10710" t="str">
        <f>T("   850211")</f>
        <v xml:space="preserve">   850211</v>
      </c>
      <c r="B10710" t="s">
        <v>444</v>
      </c>
      <c r="C10710">
        <v>11544240</v>
      </c>
      <c r="D10710">
        <v>2233</v>
      </c>
    </row>
    <row r="10711" spans="1:4" x14ac:dyDescent="0.25">
      <c r="A10711" t="str">
        <f>T("   850220")</f>
        <v xml:space="preserve">   850220</v>
      </c>
      <c r="B10711" t="s">
        <v>446</v>
      </c>
      <c r="C10711">
        <v>1205532</v>
      </c>
      <c r="D10711">
        <v>2200</v>
      </c>
    </row>
    <row r="10712" spans="1:4" x14ac:dyDescent="0.25">
      <c r="A10712" t="str">
        <f>T("   850239")</f>
        <v xml:space="preserve">   850239</v>
      </c>
      <c r="B10712" t="str">
        <f>T("   Groupes électrogènes (autres qu'à énergie éolienne et à moteurs à piston)")</f>
        <v xml:space="preserve">   Groupes électrogènes (autres qu'à énergie éolienne et à moteurs à piston)</v>
      </c>
      <c r="C10712">
        <v>742138</v>
      </c>
      <c r="D10712">
        <v>2068</v>
      </c>
    </row>
    <row r="10713" spans="1:4" x14ac:dyDescent="0.25">
      <c r="A10713" t="str">
        <f>T("   850431")</f>
        <v xml:space="preserve">   850431</v>
      </c>
      <c r="B10713" t="str">
        <f>T("   Transformateurs à sec, puissance &lt;= 1 kVA")</f>
        <v xml:space="preserve">   Transformateurs à sec, puissance &lt;= 1 kVA</v>
      </c>
      <c r="C10713">
        <v>184151</v>
      </c>
      <c r="D10713">
        <v>1</v>
      </c>
    </row>
    <row r="10714" spans="1:4" x14ac:dyDescent="0.25">
      <c r="A10714" t="str">
        <f>T("   850440")</f>
        <v xml:space="preserve">   850440</v>
      </c>
      <c r="B10714" t="str">
        <f>T("   CONVERTISSEURS STATIQUES")</f>
        <v xml:space="preserve">   CONVERTISSEURS STATIQUES</v>
      </c>
      <c r="C10714">
        <v>3341738</v>
      </c>
      <c r="D10714">
        <v>206</v>
      </c>
    </row>
    <row r="10715" spans="1:4" x14ac:dyDescent="0.25">
      <c r="A10715" t="str">
        <f>T("   850650")</f>
        <v xml:space="preserve">   850650</v>
      </c>
      <c r="B10715" t="str">
        <f>T("   Piles et batteries de piles électriques, au lithium (sauf hors d'usage)")</f>
        <v xml:space="preserve">   Piles et batteries de piles électriques, au lithium (sauf hors d'usage)</v>
      </c>
      <c r="C10715">
        <v>156925</v>
      </c>
      <c r="D10715">
        <v>2</v>
      </c>
    </row>
    <row r="10716" spans="1:4" x14ac:dyDescent="0.25">
      <c r="A10716" t="str">
        <f>T("   850980")</f>
        <v xml:space="preserve">   850980</v>
      </c>
      <c r="B10716" t="s">
        <v>447</v>
      </c>
      <c r="C10716">
        <v>106571</v>
      </c>
      <c r="D10716">
        <v>240</v>
      </c>
    </row>
    <row r="10717" spans="1:4" x14ac:dyDescent="0.25">
      <c r="A10717" t="str">
        <f>T("   851140")</f>
        <v xml:space="preserve">   851140</v>
      </c>
      <c r="B10717" t="str">
        <f>T("   Démarreurs, même fonctionnant comme génératrices, pour moteurs à allumage par étincelles ou par compression")</f>
        <v xml:space="preserve">   Démarreurs, même fonctionnant comme génératrices, pour moteurs à allumage par étincelles ou par compression</v>
      </c>
      <c r="C10717">
        <v>85258</v>
      </c>
      <c r="D10717">
        <v>9</v>
      </c>
    </row>
    <row r="10718" spans="1:4" x14ac:dyDescent="0.25">
      <c r="A10718" t="str">
        <f>T("   851180")</f>
        <v xml:space="preserve">   851180</v>
      </c>
      <c r="B10718" t="s">
        <v>448</v>
      </c>
      <c r="C10718">
        <v>941346</v>
      </c>
      <c r="D10718">
        <v>19</v>
      </c>
    </row>
    <row r="10719" spans="1:4" x14ac:dyDescent="0.25">
      <c r="A10719" t="str">
        <f>T("   851220")</f>
        <v xml:space="preserve">   851220</v>
      </c>
      <c r="B10719" t="str">
        <f>T("   Appareils électriques d'éclairage ou de signalisation visuelle, pour automobiles (à l'excl. des lampes du n° 8539)")</f>
        <v xml:space="preserve">   Appareils électriques d'éclairage ou de signalisation visuelle, pour automobiles (à l'excl. des lampes du n° 8539)</v>
      </c>
      <c r="C10719">
        <v>1143798</v>
      </c>
      <c r="D10719">
        <v>72</v>
      </c>
    </row>
    <row r="10720" spans="1:4" x14ac:dyDescent="0.25">
      <c r="A10720" t="str">
        <f>T("   851629")</f>
        <v xml:space="preserve">   851629</v>
      </c>
      <c r="B10720" t="str">
        <f>T("   Appareils électriques pour le chauffage des locaux, du sol ou pour usages simil. (sauf radiateurs à accumulation)")</f>
        <v xml:space="preserve">   Appareils électriques pour le chauffage des locaux, du sol ou pour usages simil. (sauf radiateurs à accumulation)</v>
      </c>
      <c r="C10720">
        <v>300000</v>
      </c>
      <c r="D10720">
        <v>804</v>
      </c>
    </row>
    <row r="10721" spans="1:4" x14ac:dyDescent="0.25">
      <c r="A10721" t="str">
        <f>T("   851660")</f>
        <v xml:space="preserve">   851660</v>
      </c>
      <c r="B10721" t="str">
        <f>T("   Fours, cuisinières, réchauds, tables de cuisson, grils et rôtissoires électriques, pour usages domestiques (sauf fours destinés au chauffage des locaux et fours à micro-ondes)")</f>
        <v xml:space="preserve">   Fours, cuisinières, réchauds, tables de cuisson, grils et rôtissoires électriques, pour usages domestiques (sauf fours destinés au chauffage des locaux et fours à micro-ondes)</v>
      </c>
      <c r="C10721">
        <v>500362</v>
      </c>
      <c r="D10721">
        <v>7550</v>
      </c>
    </row>
    <row r="10722" spans="1:4" x14ac:dyDescent="0.25">
      <c r="A10722" t="str">
        <f>T("   851679")</f>
        <v xml:space="preserve">   851679</v>
      </c>
      <c r="B10722" t="s">
        <v>451</v>
      </c>
      <c r="C10722">
        <v>5829864</v>
      </c>
      <c r="D10722">
        <v>11283</v>
      </c>
    </row>
    <row r="10723" spans="1:4" x14ac:dyDescent="0.25">
      <c r="A10723" t="str">
        <f>T("   851750")</f>
        <v xml:space="preserve">   851750</v>
      </c>
      <c r="B10723" t="s">
        <v>452</v>
      </c>
      <c r="C10723">
        <v>4238110</v>
      </c>
      <c r="D10723">
        <v>31</v>
      </c>
    </row>
    <row r="10724" spans="1:4" x14ac:dyDescent="0.25">
      <c r="A10724" t="str">
        <f>T("   851780")</f>
        <v xml:space="preserve">   851780</v>
      </c>
      <c r="B10724" t="s">
        <v>453</v>
      </c>
      <c r="C10724">
        <v>35502406</v>
      </c>
      <c r="D10724">
        <v>392.2</v>
      </c>
    </row>
    <row r="10725" spans="1:4" x14ac:dyDescent="0.25">
      <c r="A10725" t="str">
        <f>T("   851790")</f>
        <v xml:space="preserve">   851790</v>
      </c>
      <c r="B10725" t="s">
        <v>454</v>
      </c>
      <c r="C10725">
        <v>35951</v>
      </c>
      <c r="D10725">
        <v>190</v>
      </c>
    </row>
    <row r="10726" spans="1:4" x14ac:dyDescent="0.25">
      <c r="A10726" t="str">
        <f>T("   851810")</f>
        <v xml:space="preserve">   851810</v>
      </c>
      <c r="B10726" t="str">
        <f>T("   Microphones et leurs supports (autres que sans fil, avec émetteur incorporé)")</f>
        <v xml:space="preserve">   Microphones et leurs supports (autres que sans fil, avec émetteur incorporé)</v>
      </c>
      <c r="C10726">
        <v>60349</v>
      </c>
      <c r="D10726">
        <v>35</v>
      </c>
    </row>
    <row r="10727" spans="1:4" x14ac:dyDescent="0.25">
      <c r="A10727" t="str">
        <f>T("   851829")</f>
        <v xml:space="preserve">   851829</v>
      </c>
      <c r="B10727" t="str">
        <f>T("   Haut-parleurs sans enceinte")</f>
        <v xml:space="preserve">   Haut-parleurs sans enceinte</v>
      </c>
      <c r="C10727">
        <v>616621</v>
      </c>
      <c r="D10727">
        <v>2100</v>
      </c>
    </row>
    <row r="10728" spans="1:4" x14ac:dyDescent="0.25">
      <c r="A10728" t="str">
        <f>T("   851850")</f>
        <v xml:space="preserve">   851850</v>
      </c>
      <c r="B10728" t="str">
        <f>T("   Appareils électriques d'amplification du son")</f>
        <v xml:space="preserve">   Appareils électriques d'amplification du son</v>
      </c>
      <c r="C10728">
        <v>597750</v>
      </c>
      <c r="D10728">
        <v>19</v>
      </c>
    </row>
    <row r="10729" spans="1:4" x14ac:dyDescent="0.25">
      <c r="A10729" t="str">
        <f>T("   852320")</f>
        <v xml:space="preserve">   852320</v>
      </c>
      <c r="B10729" t="str">
        <f>T("   DISQUES MAGNÉTIQUES NON-ENREGISTRÉS")</f>
        <v xml:space="preserve">   DISQUES MAGNÉTIQUES NON-ENREGISTRÉS</v>
      </c>
      <c r="C10729">
        <v>10018</v>
      </c>
      <c r="D10729">
        <v>4</v>
      </c>
    </row>
    <row r="10730" spans="1:4" x14ac:dyDescent="0.25">
      <c r="A10730" t="str">
        <f>T("   852520")</f>
        <v xml:space="preserve">   852520</v>
      </c>
      <c r="B10730" t="str">
        <f>T("   Appareils d'émission incorporant un appareil de réception, pour la radiotéléphonie, la radiotélégraphie, la radiodiffusion ou la télévision")</f>
        <v xml:space="preserve">   Appareils d'émission incorporant un appareil de réception, pour la radiotéléphonie, la radiotélégraphie, la radiodiffusion ou la télévision</v>
      </c>
      <c r="C10730">
        <v>559493</v>
      </c>
      <c r="D10730">
        <v>10</v>
      </c>
    </row>
    <row r="10731" spans="1:4" x14ac:dyDescent="0.25">
      <c r="A10731" t="str">
        <f>T("   852713")</f>
        <v xml:space="preserve">   852713</v>
      </c>
      <c r="B10731" t="str">
        <f>T("   RÉCEPTEURS DE RADIODIFFUSION POUVANT FONCTIONNER SANS SOURCE D'ÉNERGIE EXTÉRIEURE, COMBINÉS À UN APPAREIL D'ENREGISTREMENT OU DE REPRODUCTION DU SON (À L'EXCL. DES RADIOCASSETTES DE POCHE)")</f>
        <v xml:space="preserve">   RÉCEPTEURS DE RADIODIFFUSION POUVANT FONCTIONNER SANS SOURCE D'ÉNERGIE EXTÉRIEURE, COMBINÉS À UN APPAREIL D'ENREGISTREMENT OU DE REPRODUCTION DU SON (À L'EXCL. DES RADIOCASSETTES DE POCHE)</v>
      </c>
      <c r="C10731">
        <v>97800</v>
      </c>
      <c r="D10731">
        <v>200</v>
      </c>
    </row>
    <row r="10732" spans="1:4" x14ac:dyDescent="0.25">
      <c r="A10732" t="str">
        <f>T("   852719")</f>
        <v xml:space="preserve">   852719</v>
      </c>
      <c r="B10732" t="str">
        <f>T("   Récepteurs de radiodiffusion pouvant fonctionner sans source d'énergie extérieure, y.c. les appareils recevant également la radiotéléphonie ou la radiotélégraphie, non combinés à un appareil d'enregistrement et de reproduction du son")</f>
        <v xml:space="preserve">   Récepteurs de radiodiffusion pouvant fonctionner sans source d'énergie extérieure, y.c. les appareils recevant également la radiotéléphonie ou la radiotélégraphie, non combinés à un appareil d'enregistrement et de reproduction du son</v>
      </c>
      <c r="C10732">
        <v>584639</v>
      </c>
      <c r="D10732">
        <v>1768</v>
      </c>
    </row>
    <row r="10733" spans="1:4" x14ac:dyDescent="0.25">
      <c r="A10733" t="str">
        <f>T("   852790")</f>
        <v xml:space="preserve">   852790</v>
      </c>
      <c r="B10733" t="str">
        <f>T("   Récepteurs pour la radiotéléphonie, la radiotélégraphie ou la radiodiffusion commerciale")</f>
        <v xml:space="preserve">   Récepteurs pour la radiotéléphonie, la radiotélégraphie ou la radiodiffusion commerciale</v>
      </c>
      <c r="C10733">
        <v>55182</v>
      </c>
      <c r="D10733">
        <v>1</v>
      </c>
    </row>
    <row r="10734" spans="1:4" x14ac:dyDescent="0.25">
      <c r="A10734" t="str">
        <f>T("   852812")</f>
        <v xml:space="preserve">   852812</v>
      </c>
      <c r="B10734"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10734">
        <v>6399758</v>
      </c>
      <c r="D10734">
        <v>27679</v>
      </c>
    </row>
    <row r="10735" spans="1:4" x14ac:dyDescent="0.25">
      <c r="A10735" t="str">
        <f>T("   852813")</f>
        <v xml:space="preserve">   852813</v>
      </c>
      <c r="B10735" t="str">
        <f>T("   Appareils récepteurs pour la télévision en noir et blanc ou en autres monochromes, même incorporant un appareil récepteur de radiodiffusion ou un appareil d'enregistrement ou de reproduction du son ou des images")</f>
        <v xml:space="preserve">   Appareils récepteurs pour la télévision en noir et blanc ou en autres monochromes, même incorporant un appareil récepteur de radiodiffusion ou un appareil d'enregistrement ou de reproduction du son ou des images</v>
      </c>
      <c r="C10735">
        <v>383481</v>
      </c>
      <c r="D10735">
        <v>800</v>
      </c>
    </row>
    <row r="10736" spans="1:4" x14ac:dyDescent="0.25">
      <c r="A10736" t="str">
        <f>T("   852821")</f>
        <v xml:space="preserve">   852821</v>
      </c>
      <c r="B10736" t="str">
        <f>T("   Moniteurs vidéo en couleurs")</f>
        <v xml:space="preserve">   Moniteurs vidéo en couleurs</v>
      </c>
      <c r="C10736">
        <v>557850</v>
      </c>
      <c r="D10736">
        <v>29</v>
      </c>
    </row>
    <row r="10737" spans="1:4" x14ac:dyDescent="0.25">
      <c r="A10737" t="str">
        <f>T("   852830")</f>
        <v xml:space="preserve">   852830</v>
      </c>
      <c r="B10737" t="str">
        <f>T("   Projecteurs vidéo")</f>
        <v xml:space="preserve">   Projecteurs vidéo</v>
      </c>
      <c r="C10737">
        <v>100362</v>
      </c>
      <c r="D10737">
        <v>10</v>
      </c>
    </row>
    <row r="10738" spans="1:4" x14ac:dyDescent="0.25">
      <c r="A10738" t="str">
        <f>T("   852910")</f>
        <v xml:space="preserve">   852910</v>
      </c>
      <c r="B10738" t="str">
        <f>T("   Antennes et réflecteurs d'antennes de tous types; parties reconnaissables comme étant utilisées conjointement avec ces articles, n.d.a.")</f>
        <v xml:space="preserve">   Antennes et réflecteurs d'antennes de tous types; parties reconnaissables comme étant utilisées conjointement avec ces articles, n.d.a.</v>
      </c>
      <c r="C10738">
        <v>346353</v>
      </c>
      <c r="D10738">
        <v>11</v>
      </c>
    </row>
    <row r="10739" spans="1:4" x14ac:dyDescent="0.25">
      <c r="A10739" t="str">
        <f>T("   853180")</f>
        <v xml:space="preserve">   853180</v>
      </c>
      <c r="B10739" t="s">
        <v>467</v>
      </c>
      <c r="C10739">
        <v>4873192</v>
      </c>
      <c r="D10739">
        <v>155</v>
      </c>
    </row>
    <row r="10740" spans="1:4" x14ac:dyDescent="0.25">
      <c r="A10740" t="str">
        <f>T("   853340")</f>
        <v xml:space="preserve">   853340</v>
      </c>
      <c r="B10740" t="str">
        <f>T("   RÉSISTANCES ÉLECTRIQUES VARIABLES 'Y.C. LES RHÉOSTATS ET LES POTENTIOMÈTRES' (AUTRES QUE RÉSISTANCES VARIABLES BOBINÉES ET RÉSISTANCES CHAUFFANTES)")</f>
        <v xml:space="preserve">   RÉSISTANCES ÉLECTRIQUES VARIABLES 'Y.C. LES RHÉOSTATS ET LES POTENTIOMÈTRES' (AUTRES QUE RÉSISTANCES VARIABLES BOBINÉES ET RÉSISTANCES CHAUFFANTES)</v>
      </c>
      <c r="C10740">
        <v>536091</v>
      </c>
      <c r="D10740">
        <v>2.2999999999999998</v>
      </c>
    </row>
    <row r="10741" spans="1:4" x14ac:dyDescent="0.25">
      <c r="A10741" t="str">
        <f>T("   853641")</f>
        <v xml:space="preserve">   853641</v>
      </c>
      <c r="B10741" t="str">
        <f>T("   Relais pour une tension &lt;= 60 V")</f>
        <v xml:space="preserve">   Relais pour une tension &lt;= 60 V</v>
      </c>
      <c r="C10741">
        <v>258845</v>
      </c>
      <c r="D10741">
        <v>1</v>
      </c>
    </row>
    <row r="10742" spans="1:4" x14ac:dyDescent="0.25">
      <c r="A10742" t="str">
        <f>T("   853650")</f>
        <v xml:space="preserve">   853650</v>
      </c>
      <c r="B10742" t="str">
        <f>T("   Interrupteurs, sectionneurs et commutateurs, pour une tension &lt;= 1.000 V (autres que relais et disjoncteurs)")</f>
        <v xml:space="preserve">   Interrupteurs, sectionneurs et commutateurs, pour une tension &lt;= 1.000 V (autres que relais et disjoncteurs)</v>
      </c>
      <c r="C10742">
        <v>10005092</v>
      </c>
      <c r="D10742">
        <v>788.2</v>
      </c>
    </row>
    <row r="10743" spans="1:4" x14ac:dyDescent="0.25">
      <c r="A10743" t="str">
        <f>T("   854150")</f>
        <v xml:space="preserve">   854150</v>
      </c>
      <c r="B10743" t="str">
        <f>T("   Dispositifs à semi-conducteur, n.d.a.")</f>
        <v xml:space="preserve">   Dispositifs à semi-conducteur, n.d.a.</v>
      </c>
      <c r="C10743">
        <v>13563892</v>
      </c>
      <c r="D10743">
        <v>2798</v>
      </c>
    </row>
    <row r="10744" spans="1:4" x14ac:dyDescent="0.25">
      <c r="A10744" t="str">
        <f>T("   854210")</f>
        <v xml:space="preserve">   854210</v>
      </c>
      <c r="B10744" t="str">
        <f>T("   Cartes munies d'un circuit intégré électronique [cartes intelligentes], munies ou non d'une piste magnétique")</f>
        <v xml:space="preserve">   Cartes munies d'un circuit intégré électronique [cartes intelligentes], munies ou non d'une piste magnétique</v>
      </c>
      <c r="C10744">
        <v>395321</v>
      </c>
      <c r="D10744">
        <v>26</v>
      </c>
    </row>
    <row r="10745" spans="1:4" x14ac:dyDescent="0.25">
      <c r="A10745" t="str">
        <f>T("   854229")</f>
        <v xml:space="preserve">   854229</v>
      </c>
      <c r="B10745" t="str">
        <f>T("   Circuits intégrés monolithiques, analogiques ou analogiques-numériques")</f>
        <v xml:space="preserve">   Circuits intégrés monolithiques, analogiques ou analogiques-numériques</v>
      </c>
      <c r="C10745">
        <v>25592</v>
      </c>
      <c r="D10745">
        <v>4</v>
      </c>
    </row>
    <row r="10746" spans="1:4" x14ac:dyDescent="0.25">
      <c r="A10746" t="str">
        <f>T("   854420")</f>
        <v xml:space="preserve">   854420</v>
      </c>
      <c r="B10746" t="str">
        <f>T("   Câbles coaxiaux et autres conducteurs électriques coaxiaux, isolés")</f>
        <v xml:space="preserve">   Câbles coaxiaux et autres conducteurs électriques coaxiaux, isolés</v>
      </c>
      <c r="C10746">
        <v>384992</v>
      </c>
      <c r="D10746">
        <v>30</v>
      </c>
    </row>
    <row r="10747" spans="1:4" x14ac:dyDescent="0.25">
      <c r="A10747" t="str">
        <f>T("   854451")</f>
        <v xml:space="preserve">   854451</v>
      </c>
      <c r="B10747" t="str">
        <f>T("   Conducteurs électriques, pour tension &gt; 80 V mais &lt;= 1.000 V, avec pièces de connexion, n.d.a.")</f>
        <v xml:space="preserve">   Conducteurs électriques, pour tension &gt; 80 V mais &lt;= 1.000 V, avec pièces de connexion, n.d.a.</v>
      </c>
      <c r="C10747">
        <v>523181</v>
      </c>
      <c r="D10747">
        <v>20</v>
      </c>
    </row>
    <row r="10748" spans="1:4" x14ac:dyDescent="0.25">
      <c r="A10748" t="str">
        <f>T("   870120")</f>
        <v xml:space="preserve">   870120</v>
      </c>
      <c r="B10748" t="str">
        <f>T("   Tracteurs routiers pour semi-remorques")</f>
        <v xml:space="preserve">   Tracteurs routiers pour semi-remorques</v>
      </c>
      <c r="C10748">
        <v>35559075</v>
      </c>
      <c r="D10748">
        <v>95277</v>
      </c>
    </row>
    <row r="10749" spans="1:4" x14ac:dyDescent="0.25">
      <c r="A10749" t="str">
        <f>T("   870190")</f>
        <v xml:space="preserve">   870190</v>
      </c>
      <c r="B10749" t="str">
        <f>T("   Tracteurs (à l'excl. des chariots-tracteurs du n° 8709, ainsi que des motoculteurs, tracteurs routiers pour semi-remorques et tracteurs à chenilles)")</f>
        <v xml:space="preserve">   Tracteurs (à l'excl. des chariots-tracteurs du n° 8709, ainsi que des motoculteurs, tracteurs routiers pour semi-remorques et tracteurs à chenilles)</v>
      </c>
      <c r="C10749">
        <v>2000000</v>
      </c>
      <c r="D10749">
        <v>1550</v>
      </c>
    </row>
    <row r="10750" spans="1:4" x14ac:dyDescent="0.25">
      <c r="A10750" t="str">
        <f>T("   870210")</f>
        <v xml:space="preserve">   870210</v>
      </c>
      <c r="B10750" t="s">
        <v>472</v>
      </c>
      <c r="C10750">
        <v>19985221</v>
      </c>
      <c r="D10750">
        <v>10849</v>
      </c>
    </row>
    <row r="10751" spans="1:4" x14ac:dyDescent="0.25">
      <c r="A10751" t="str">
        <f>T("   870290")</f>
        <v xml:space="preserve">   870290</v>
      </c>
      <c r="B10751" t="s">
        <v>473</v>
      </c>
      <c r="C10751">
        <v>51934357</v>
      </c>
      <c r="D10751">
        <v>40792</v>
      </c>
    </row>
    <row r="10752" spans="1:4" x14ac:dyDescent="0.25">
      <c r="A10752" t="str">
        <f>T("   870321")</f>
        <v xml:space="preserve">   870321</v>
      </c>
      <c r="B10752" t="s">
        <v>474</v>
      </c>
      <c r="C10752">
        <v>5314050</v>
      </c>
      <c r="D10752">
        <v>2783</v>
      </c>
    </row>
    <row r="10753" spans="1:4" x14ac:dyDescent="0.25">
      <c r="A10753" t="str">
        <f>T("   870322")</f>
        <v xml:space="preserve">   870322</v>
      </c>
      <c r="B10753" t="s">
        <v>475</v>
      </c>
      <c r="C10753">
        <v>7338110103</v>
      </c>
      <c r="D10753">
        <v>4322231</v>
      </c>
    </row>
    <row r="10754" spans="1:4" x14ac:dyDescent="0.25">
      <c r="A10754" t="str">
        <f>T("   870323")</f>
        <v xml:space="preserve">   870323</v>
      </c>
      <c r="B10754" t="s">
        <v>476</v>
      </c>
      <c r="C10754">
        <v>3241009576</v>
      </c>
      <c r="D10754">
        <v>1577780</v>
      </c>
    </row>
    <row r="10755" spans="1:4" x14ac:dyDescent="0.25">
      <c r="A10755" t="str">
        <f>T("   870324")</f>
        <v xml:space="preserve">   870324</v>
      </c>
      <c r="B10755" t="s">
        <v>477</v>
      </c>
      <c r="C10755">
        <v>271192469</v>
      </c>
      <c r="D10755">
        <v>88926</v>
      </c>
    </row>
    <row r="10756" spans="1:4" x14ac:dyDescent="0.25">
      <c r="A10756" t="str">
        <f>T("   870331")</f>
        <v xml:space="preserve">   870331</v>
      </c>
      <c r="B10756" t="s">
        <v>478</v>
      </c>
      <c r="C10756">
        <v>1394596</v>
      </c>
      <c r="D10756">
        <v>1835</v>
      </c>
    </row>
    <row r="10757" spans="1:4" x14ac:dyDescent="0.25">
      <c r="A10757" t="str">
        <f>T("   870332")</f>
        <v xml:space="preserve">   870332</v>
      </c>
      <c r="B10757" t="s">
        <v>479</v>
      </c>
      <c r="C10757">
        <v>38700826</v>
      </c>
      <c r="D10757">
        <v>5195</v>
      </c>
    </row>
    <row r="10758" spans="1:4" x14ac:dyDescent="0.25">
      <c r="A10758" t="str">
        <f>T("   870333")</f>
        <v xml:space="preserve">   870333</v>
      </c>
      <c r="B10758" t="s">
        <v>480</v>
      </c>
      <c r="C10758">
        <v>26137635</v>
      </c>
      <c r="D10758">
        <v>15990</v>
      </c>
    </row>
    <row r="10759" spans="1:4" x14ac:dyDescent="0.25">
      <c r="A10759" t="str">
        <f>T("   870421")</f>
        <v xml:space="preserve">   870421</v>
      </c>
      <c r="B10759" t="s">
        <v>481</v>
      </c>
      <c r="C10759">
        <v>188077785</v>
      </c>
      <c r="D10759">
        <v>118841</v>
      </c>
    </row>
    <row r="10760" spans="1:4" x14ac:dyDescent="0.25">
      <c r="A10760" t="str">
        <f>T("   870422")</f>
        <v xml:space="preserve">   870422</v>
      </c>
      <c r="B10760" t="s">
        <v>482</v>
      </c>
      <c r="C10760">
        <v>26388130</v>
      </c>
      <c r="D10760">
        <v>77813</v>
      </c>
    </row>
    <row r="10761" spans="1:4" x14ac:dyDescent="0.25">
      <c r="A10761" t="str">
        <f>T("   870431")</f>
        <v xml:space="preserve">   870431</v>
      </c>
      <c r="B10761" t="s">
        <v>484</v>
      </c>
      <c r="C10761">
        <v>98850073</v>
      </c>
      <c r="D10761">
        <v>49291</v>
      </c>
    </row>
    <row r="10762" spans="1:4" x14ac:dyDescent="0.25">
      <c r="A10762" t="str">
        <f>T("   870490")</f>
        <v xml:space="preserve">   870490</v>
      </c>
      <c r="B10762" t="str">
        <f>T("   Véhicules automobiles pour le transport de marchandises à moteur autre qu'à piston à allumage par étincelles ou moteur diesel ou semi-diesel (sauf tombereaux automoteurs du n° 8704.10, véhicules automobiles à usages spéciaux du n° 8705)")</f>
        <v xml:space="preserve">   Véhicules automobiles pour le transport de marchandises à moteur autre qu'à piston à allumage par étincelles ou moteur diesel ou semi-diesel (sauf tombereaux automoteurs du n° 8704.10, véhicules automobiles à usages spéciaux du n° 8705)</v>
      </c>
      <c r="C10762">
        <v>3205230</v>
      </c>
      <c r="D10762">
        <v>1150</v>
      </c>
    </row>
    <row r="10763" spans="1:4" x14ac:dyDescent="0.25">
      <c r="A10763" t="str">
        <f>T("   870840")</f>
        <v xml:space="preserve">   870840</v>
      </c>
      <c r="B10763" t="str">
        <f>T("   BOÎTES DE VITESSE ET LEURS PARTIES, POUR TRACTEURS, VÉHICULES POUR LE TRANSPORT DE &gt;= 10 PERSONNES, CHAUFFEUR INCLUS, VOITURES DE TOURISME, VÉHICULES POUR LE TRANSPORT DE MARCHANDISES ET VÉHICULES À USAGES SPÉCIAUX, N.D.A.")</f>
        <v xml:space="preserve">   BOÎTES DE VITESSE ET LEURS PARTIES, POUR TRACTEURS, VÉHICULES POUR LE TRANSPORT DE &gt;= 10 PERSONNES, CHAUFFEUR INCLUS, VOITURES DE TOURISME, VÉHICULES POUR LE TRANSPORT DE MARCHANDISES ET VÉHICULES À USAGES SPÉCIAUX, N.D.A.</v>
      </c>
      <c r="C10763">
        <v>13992053</v>
      </c>
      <c r="D10763">
        <v>730</v>
      </c>
    </row>
    <row r="10764" spans="1:4" x14ac:dyDescent="0.25">
      <c r="A10764" t="str">
        <f>T("   870899")</f>
        <v xml:space="preserve">   870899</v>
      </c>
      <c r="B10764"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10764">
        <v>30561587</v>
      </c>
      <c r="D10764">
        <v>3485.5</v>
      </c>
    </row>
    <row r="10765" spans="1:4" x14ac:dyDescent="0.25">
      <c r="A10765" t="str">
        <f>T("   870919")</f>
        <v xml:space="preserve">   870919</v>
      </c>
      <c r="B10765" t="str">
        <f>T("   CHARIOTS AUTOMOBILES NON-ÉLECTRIQUES, NON-MUNIS D'UN DISPOSITIF DE LEVAGE, DES TYPES UTILISÉS POUR LE TRANSPORT DES MARCHANDISES SUR DE COURTES DISTANCES, Y.C. LES CHARIOTS-TRACTEURS DES TYPES UTILISÉS DANS LES GARES")</f>
        <v xml:space="preserve">   CHARIOTS AUTOMOBILES NON-ÉLECTRIQUES, NON-MUNIS D'UN DISPOSITIF DE LEVAGE, DES TYPES UTILISÉS POUR LE TRANSPORT DES MARCHANDISES SUR DE COURTES DISTANCES, Y.C. LES CHARIOTS-TRACTEURS DES TYPES UTILISÉS DANS LES GARES</v>
      </c>
      <c r="C10765">
        <v>2000341</v>
      </c>
      <c r="D10765">
        <v>3000</v>
      </c>
    </row>
    <row r="10766" spans="1:4" x14ac:dyDescent="0.25">
      <c r="A10766" t="str">
        <f>T("   871110")</f>
        <v xml:space="preserve">   871110</v>
      </c>
      <c r="B10766" t="str">
        <f>T("   Cyclomoteurs, à moteur à piston alternatif, cylindrée &lt;= 50 cm³, y.c. cycles à moteur auxiliaire")</f>
        <v xml:space="preserve">   Cyclomoteurs, à moteur à piston alternatif, cylindrée &lt;= 50 cm³, y.c. cycles à moteur auxiliaire</v>
      </c>
      <c r="C10766">
        <v>200000</v>
      </c>
      <c r="D10766">
        <v>1400</v>
      </c>
    </row>
    <row r="10767" spans="1:4" x14ac:dyDescent="0.25">
      <c r="A10767" t="str">
        <f>T("   871120")</f>
        <v xml:space="preserve">   871120</v>
      </c>
      <c r="B10767" t="str">
        <f>T("   Motocycles à moteur à piston alternatif, cylindrée &gt; 50 cm³ mais &lt;= 250 cm³")</f>
        <v xml:space="preserve">   Motocycles à moteur à piston alternatif, cylindrée &gt; 50 cm³ mais &lt;= 250 cm³</v>
      </c>
      <c r="C10767">
        <v>37451479</v>
      </c>
      <c r="D10767">
        <v>17403</v>
      </c>
    </row>
    <row r="10768" spans="1:4" x14ac:dyDescent="0.25">
      <c r="A10768" t="str">
        <f>T("   871200")</f>
        <v xml:space="preserve">   871200</v>
      </c>
      <c r="B10768" t="str">
        <f>T("   BICYCLETTES ET AUTRES CYCLES, -Y.C. LES TRIPORTEURS-, SANS MOTEUR")</f>
        <v xml:space="preserve">   BICYCLETTES ET AUTRES CYCLES, -Y.C. LES TRIPORTEURS-, SANS MOTEUR</v>
      </c>
      <c r="C10768">
        <v>13481610</v>
      </c>
      <c r="D10768">
        <v>39250</v>
      </c>
    </row>
    <row r="10769" spans="1:4" x14ac:dyDescent="0.25">
      <c r="A10769" t="str">
        <f>T("   871419")</f>
        <v xml:space="preserve">   871419</v>
      </c>
      <c r="B10769" t="str">
        <f>T("   Parties et accessoires de motocycles, y.c. de cyclomoteurs, n.d.a.")</f>
        <v xml:space="preserve">   Parties et accessoires de motocycles, y.c. de cyclomoteurs, n.d.a.</v>
      </c>
      <c r="C10769">
        <v>172087</v>
      </c>
      <c r="D10769">
        <v>132</v>
      </c>
    </row>
    <row r="10770" spans="1:4" x14ac:dyDescent="0.25">
      <c r="A10770" t="str">
        <f>T("   871499")</f>
        <v xml:space="preserve">   871499</v>
      </c>
      <c r="B10770" t="str">
        <f>T("   Parties et accessoires, de bicyclettes, n.d.a.")</f>
        <v xml:space="preserve">   Parties et accessoires, de bicyclettes, n.d.a.</v>
      </c>
      <c r="C10770">
        <v>500000</v>
      </c>
      <c r="D10770">
        <v>3500</v>
      </c>
    </row>
    <row r="10771" spans="1:4" x14ac:dyDescent="0.25">
      <c r="A10771" t="str">
        <f>T("   871500")</f>
        <v xml:space="preserve">   871500</v>
      </c>
      <c r="B10771" t="str">
        <f>T("   Landaus, poussettes et voitures simil., pour le transport des enfants, et leurs parties, n.d.a.")</f>
        <v xml:space="preserve">   Landaus, poussettes et voitures simil., pour le transport des enfants, et leurs parties, n.d.a.</v>
      </c>
      <c r="C10771">
        <v>212352</v>
      </c>
      <c r="D10771">
        <v>148</v>
      </c>
    </row>
    <row r="10772" spans="1:4" x14ac:dyDescent="0.25">
      <c r="A10772" t="str">
        <f>T("   871620")</f>
        <v xml:space="preserve">   871620</v>
      </c>
      <c r="B10772" t="str">
        <f>T("   Remorques et semi-remorques autochargeuses ou autodéchargeuses, pour usages agricoles")</f>
        <v xml:space="preserve">   Remorques et semi-remorques autochargeuses ou autodéchargeuses, pour usages agricoles</v>
      </c>
      <c r="C10772">
        <v>4000000</v>
      </c>
      <c r="D10772">
        <v>9038</v>
      </c>
    </row>
    <row r="10773" spans="1:4" x14ac:dyDescent="0.25">
      <c r="A10773" t="str">
        <f>T("   871640")</f>
        <v xml:space="preserve">   871640</v>
      </c>
      <c r="B10773" t="str">
        <f>T("   Remorques ne circulant pas sur rails (à l'excl. des remorques pour le transport de marchandises et remorques pour l'habitation ou le camping, du type caravane)")</f>
        <v xml:space="preserve">   Remorques ne circulant pas sur rails (à l'excl. des remorques pour le transport de marchandises et remorques pour l'habitation ou le camping, du type caravane)</v>
      </c>
      <c r="C10773">
        <v>12009274</v>
      </c>
      <c r="D10773">
        <v>39560</v>
      </c>
    </row>
    <row r="10774" spans="1:4" x14ac:dyDescent="0.25">
      <c r="A10774" t="str">
        <f>T("   871680")</f>
        <v xml:space="preserve">   871680</v>
      </c>
      <c r="B10774" t="str">
        <f>T("   Véhicules dirigés à la main et autres véhicules non automobiles, autres que remorques et semi-remorques")</f>
        <v xml:space="preserve">   Véhicules dirigés à la main et autres véhicules non automobiles, autres que remorques et semi-remorques</v>
      </c>
      <c r="C10774">
        <v>921762</v>
      </c>
      <c r="D10774">
        <v>4588</v>
      </c>
    </row>
    <row r="10775" spans="1:4" x14ac:dyDescent="0.25">
      <c r="A10775" t="str">
        <f>T("   890399")</f>
        <v xml:space="preserve">   890399</v>
      </c>
      <c r="B10775" t="str">
        <f>T("   Bateaux, de plaisance ou de sport (sauf bateaux à moteur autre qu' à moteur hors-bord, bateaux à voile, même avec moteur auxiliaire, et bateaux gonflables); bateaux à rames et canoës")</f>
        <v xml:space="preserve">   Bateaux, de plaisance ou de sport (sauf bateaux à moteur autre qu' à moteur hors-bord, bateaux à voile, même avec moteur auxiliaire, et bateaux gonflables); bateaux à rames et canoës</v>
      </c>
      <c r="C10775">
        <v>719025</v>
      </c>
      <c r="D10775">
        <v>680</v>
      </c>
    </row>
    <row r="10776" spans="1:4" x14ac:dyDescent="0.25">
      <c r="A10776" t="str">
        <f>T("   900791")</f>
        <v xml:space="preserve">   900791</v>
      </c>
      <c r="B10776" t="str">
        <f>T("   PARTIES ET ACCESSOIRES DE CAMÉRAS CINEMATOGRAPHIQUES, N.D.A.")</f>
        <v xml:space="preserve">   PARTIES ET ACCESSOIRES DE CAMÉRAS CINEMATOGRAPHIQUES, N.D.A.</v>
      </c>
      <c r="C10776">
        <v>349926</v>
      </c>
      <c r="D10776">
        <v>45</v>
      </c>
    </row>
    <row r="10777" spans="1:4" x14ac:dyDescent="0.25">
      <c r="A10777" t="str">
        <f>T("   900911")</f>
        <v xml:space="preserve">   900911</v>
      </c>
      <c r="B10777" t="str">
        <f>T("   Appareils de photocopie électrostatiques, fonctionnant par reproduction directe de l'image de l'original sur la copie [procédé direct]")</f>
        <v xml:space="preserve">   Appareils de photocopie électrostatiques, fonctionnant par reproduction directe de l'image de l'original sur la copie [procédé direct]</v>
      </c>
      <c r="C10777">
        <v>75435</v>
      </c>
      <c r="D10777">
        <v>120</v>
      </c>
    </row>
    <row r="10778" spans="1:4" x14ac:dyDescent="0.25">
      <c r="A10778" t="str">
        <f>T("   901580")</f>
        <v xml:space="preserve">   901580</v>
      </c>
      <c r="B10778" t="s">
        <v>496</v>
      </c>
      <c r="C10778">
        <v>6112629</v>
      </c>
      <c r="D10778">
        <v>106</v>
      </c>
    </row>
    <row r="10779" spans="1:4" x14ac:dyDescent="0.25">
      <c r="A10779" t="str">
        <f>T("   901720")</f>
        <v xml:space="preserve">   901720</v>
      </c>
      <c r="B10779" t="str">
        <f>T("   Instruments de dessin, de traçage et de calcul (sauf tables et machines à dessiner ainsi que calculatrices)")</f>
        <v xml:space="preserve">   Instruments de dessin, de traçage et de calcul (sauf tables et machines à dessiner ainsi que calculatrices)</v>
      </c>
      <c r="C10779">
        <v>1366462</v>
      </c>
      <c r="D10779">
        <v>8</v>
      </c>
    </row>
    <row r="10780" spans="1:4" x14ac:dyDescent="0.25">
      <c r="A10780" t="str">
        <f>T("   901819")</f>
        <v xml:space="preserve">   901819</v>
      </c>
      <c r="B10780" t="s">
        <v>497</v>
      </c>
      <c r="C10780">
        <v>2935060</v>
      </c>
      <c r="D10780">
        <v>49</v>
      </c>
    </row>
    <row r="10781" spans="1:4" x14ac:dyDescent="0.25">
      <c r="A10781" t="str">
        <f>T("   901831")</f>
        <v xml:space="preserve">   901831</v>
      </c>
      <c r="B10781" t="str">
        <f>T("   Seringues, avec ou sans aiguilles, pour la médecine")</f>
        <v xml:space="preserve">   Seringues, avec ou sans aiguilles, pour la médecine</v>
      </c>
      <c r="C10781">
        <v>1641575</v>
      </c>
      <c r="D10781">
        <v>1767</v>
      </c>
    </row>
    <row r="10782" spans="1:4" x14ac:dyDescent="0.25">
      <c r="A10782" t="str">
        <f>T("   901841")</f>
        <v xml:space="preserve">   901841</v>
      </c>
      <c r="B10782" t="str">
        <f>T("   Tours dentaires, même combinés sur une base commune avec d'autres équipements dentaires")</f>
        <v xml:space="preserve">   Tours dentaires, même combinés sur une base commune avec d'autres équipements dentaires</v>
      </c>
      <c r="C10782">
        <v>516260</v>
      </c>
      <c r="D10782">
        <v>93</v>
      </c>
    </row>
    <row r="10783" spans="1:4" x14ac:dyDescent="0.25">
      <c r="A10783" t="str">
        <f>T("   901890")</f>
        <v xml:space="preserve">   901890</v>
      </c>
      <c r="B10783" t="str">
        <f>T("   Instruments et appareils pour la médecine, la chirurgie ou l'art vétérinaire, n.d.a.")</f>
        <v xml:space="preserve">   Instruments et appareils pour la médecine, la chirurgie ou l'art vétérinaire, n.d.a.</v>
      </c>
      <c r="C10783">
        <v>335545</v>
      </c>
      <c r="D10783">
        <v>54</v>
      </c>
    </row>
    <row r="10784" spans="1:4" x14ac:dyDescent="0.25">
      <c r="A10784" t="str">
        <f>T("   902214")</f>
        <v xml:space="preserve">   902214</v>
      </c>
      <c r="B10784" t="str">
        <f>T("   Appareils à rayons X pour usages médicaux, chirurgicaux ou vétérinaires (à l'excl. des appareils pour l'art dentaire et des appareils de tomographie pilotés par une machine automatique de traitement de l'information)")</f>
        <v xml:space="preserve">   Appareils à rayons X pour usages médicaux, chirurgicaux ou vétérinaires (à l'excl. des appareils pour l'art dentaire et des appareils de tomographie pilotés par une machine automatique de traitement de l'information)</v>
      </c>
      <c r="C10784">
        <v>2424069</v>
      </c>
      <c r="D10784">
        <v>65</v>
      </c>
    </row>
    <row r="10785" spans="1:4" x14ac:dyDescent="0.25">
      <c r="A10785" t="str">
        <f>T("   902620")</f>
        <v xml:space="preserve">   902620</v>
      </c>
      <c r="B10785" t="str">
        <f>T("   Instruments et appareils pour la mesure ou le contrôle de la pression des liquides ou des gaz (à l'excl. des instruments et appareils pour la régulation ou le contrôle automatiques)")</f>
        <v xml:space="preserve">   Instruments et appareils pour la mesure ou le contrôle de la pression des liquides ou des gaz (à l'excl. des instruments et appareils pour la régulation ou le contrôle automatiques)</v>
      </c>
      <c r="C10785">
        <v>172743</v>
      </c>
      <c r="D10785">
        <v>1</v>
      </c>
    </row>
    <row r="10786" spans="1:4" x14ac:dyDescent="0.25">
      <c r="A10786" t="str">
        <f>T("   920190")</f>
        <v xml:space="preserve">   920190</v>
      </c>
      <c r="B10786" t="str">
        <f>T("   Clavecins et autres instruments à cordes à clavier (autres que pianos)")</f>
        <v xml:space="preserve">   Clavecins et autres instruments à cordes à clavier (autres que pianos)</v>
      </c>
      <c r="C10786">
        <v>264601</v>
      </c>
      <c r="D10786">
        <v>15</v>
      </c>
    </row>
    <row r="10787" spans="1:4" x14ac:dyDescent="0.25">
      <c r="A10787" t="str">
        <f>T("   940120")</f>
        <v xml:space="preserve">   940120</v>
      </c>
      <c r="B10787" t="str">
        <f>T("   Sièges pour véhicules automobiles")</f>
        <v xml:space="preserve">   Sièges pour véhicules automobiles</v>
      </c>
      <c r="C10787">
        <v>113970</v>
      </c>
      <c r="D10787">
        <v>20</v>
      </c>
    </row>
    <row r="10788" spans="1:4" x14ac:dyDescent="0.25">
      <c r="A10788" t="str">
        <f>T("   940180")</f>
        <v xml:space="preserve">   940180</v>
      </c>
      <c r="B10788" t="str">
        <f>T("   Sièges, n.d.a.")</f>
        <v xml:space="preserve">   Sièges, n.d.a.</v>
      </c>
      <c r="C10788">
        <v>1301800</v>
      </c>
      <c r="D10788">
        <v>748</v>
      </c>
    </row>
    <row r="10789" spans="1:4" x14ac:dyDescent="0.25">
      <c r="A10789" t="str">
        <f>T("   940190")</f>
        <v xml:space="preserve">   940190</v>
      </c>
      <c r="B10789" t="str">
        <f>T("   Parties de sièges, n.d.a.")</f>
        <v xml:space="preserve">   Parties de sièges, n.d.a.</v>
      </c>
      <c r="C10789">
        <v>230744</v>
      </c>
      <c r="D10789">
        <v>450</v>
      </c>
    </row>
    <row r="10790" spans="1:4" x14ac:dyDescent="0.25">
      <c r="A10790" t="str">
        <f>T("   940290")</f>
        <v xml:space="preserve">   940290</v>
      </c>
      <c r="B10790" t="str">
        <f>T("   Tables d'opération, tables d'examen et autre mobilier pour la médecine, la chirurgie, l'art dentaire ou vétérinaire (sauf fauteuils de dentistes et autres sièges, tables d'examen radiographique, civières et brancards, y.c. chariots-brancards)")</f>
        <v xml:space="preserve">   Tables d'opération, tables d'examen et autre mobilier pour la médecine, la chirurgie, l'art dentaire ou vétérinaire (sauf fauteuils de dentistes et autres sièges, tables d'examen radiographique, civières et brancards, y.c. chariots-brancards)</v>
      </c>
      <c r="C10790">
        <v>754018</v>
      </c>
      <c r="D10790">
        <v>2822</v>
      </c>
    </row>
    <row r="10791" spans="1:4" x14ac:dyDescent="0.25">
      <c r="A10791" t="str">
        <f>T("   940310")</f>
        <v xml:space="preserve">   940310</v>
      </c>
      <c r="B10791" t="str">
        <f>T("   Meubles de bureau en métal (sauf sièges)")</f>
        <v xml:space="preserve">   Meubles de bureau en métal (sauf sièges)</v>
      </c>
      <c r="C10791">
        <v>1860837</v>
      </c>
      <c r="D10791">
        <v>4536</v>
      </c>
    </row>
    <row r="10792" spans="1:4" x14ac:dyDescent="0.25">
      <c r="A10792" t="str">
        <f>T("   940320")</f>
        <v xml:space="preserve">   940320</v>
      </c>
      <c r="B10792" t="str">
        <f>T("   Meubles en métal, sauf meubles de bureau, sièges et mobilier pour la médecine, la chirurgie, l'art dentaire ou vétérinaire")</f>
        <v xml:space="preserve">   Meubles en métal, sauf meubles de bureau, sièges et mobilier pour la médecine, la chirurgie, l'art dentaire ou vétérinaire</v>
      </c>
      <c r="C10792">
        <v>3776200</v>
      </c>
      <c r="D10792">
        <v>1416</v>
      </c>
    </row>
    <row r="10793" spans="1:4" x14ac:dyDescent="0.25">
      <c r="A10793" t="str">
        <f>T("   940330")</f>
        <v xml:space="preserve">   940330</v>
      </c>
      <c r="B10793" t="str">
        <f>T("   Meubles de bureau en bois (sauf sièges)")</f>
        <v xml:space="preserve">   Meubles de bureau en bois (sauf sièges)</v>
      </c>
      <c r="C10793">
        <v>3755907</v>
      </c>
      <c r="D10793">
        <v>8340</v>
      </c>
    </row>
    <row r="10794" spans="1:4" x14ac:dyDescent="0.25">
      <c r="A10794" t="str">
        <f>T("   940350")</f>
        <v xml:space="preserve">   940350</v>
      </c>
      <c r="B10794" t="str">
        <f>T("   Meubles pour chambres à coucher, en bois (sauf sièges)")</f>
        <v xml:space="preserve">   Meubles pour chambres à coucher, en bois (sauf sièges)</v>
      </c>
      <c r="C10794">
        <v>5750000</v>
      </c>
      <c r="D10794">
        <v>5717</v>
      </c>
    </row>
    <row r="10795" spans="1:4" x14ac:dyDescent="0.25">
      <c r="A10795" t="str">
        <f>T("   940360")</f>
        <v xml:space="preserve">   940360</v>
      </c>
      <c r="B10795" t="str">
        <f>T("   Meubles en bois (autres que pour bureaux, cuisines ou chambres à coucher et autres que sièges)")</f>
        <v xml:space="preserve">   Meubles en bois (autres que pour bureaux, cuisines ou chambres à coucher et autres que sièges)</v>
      </c>
      <c r="C10795">
        <v>8426232</v>
      </c>
      <c r="D10795">
        <v>14964</v>
      </c>
    </row>
    <row r="10796" spans="1:4" x14ac:dyDescent="0.25">
      <c r="A10796" t="str">
        <f>T("   940380")</f>
        <v xml:space="preserve">   940380</v>
      </c>
      <c r="B10796" t="str">
        <f>T("   Meubles en rotin, osier, bambou ou autres matières (sauf métal, bois et matières plastiques)")</f>
        <v xml:space="preserve">   Meubles en rotin, osier, bambou ou autres matières (sauf métal, bois et matières plastiques)</v>
      </c>
      <c r="C10796">
        <v>14054619</v>
      </c>
      <c r="D10796">
        <v>55432</v>
      </c>
    </row>
    <row r="10797" spans="1:4" x14ac:dyDescent="0.25">
      <c r="A10797" t="str">
        <f>T("   940390")</f>
        <v xml:space="preserve">   940390</v>
      </c>
      <c r="B10797" t="str">
        <f>T("   PARTIES DE MEUBLES, N.D.A. (AUTRES QUE DE SIÈGES ET MOBILIER POUR LA MÉDECINE, L'ART DENTAIRE ET VÉTÉRINAIRE OU LA CHIRURGIE)")</f>
        <v xml:space="preserve">   PARTIES DE MEUBLES, N.D.A. (AUTRES QUE DE SIÈGES ET MOBILIER POUR LA MÉDECINE, L'ART DENTAIRE ET VÉTÉRINAIRE OU LA CHIRURGIE)</v>
      </c>
      <c r="C10797">
        <v>2285000</v>
      </c>
      <c r="D10797">
        <v>8711</v>
      </c>
    </row>
    <row r="10798" spans="1:4" x14ac:dyDescent="0.25">
      <c r="A10798" t="str">
        <f>T("   940421")</f>
        <v xml:space="preserve">   940421</v>
      </c>
      <c r="B10798" t="str">
        <f>T("   Matelas en caoutchouc alvéolaire ou en matières plastiques alvéolaires")</f>
        <v xml:space="preserve">   Matelas en caoutchouc alvéolaire ou en matières plastiques alvéolaires</v>
      </c>
      <c r="C10798">
        <v>639427</v>
      </c>
      <c r="D10798">
        <v>1700</v>
      </c>
    </row>
    <row r="10799" spans="1:4" x14ac:dyDescent="0.25">
      <c r="A10799" t="str">
        <f>T("   940429")</f>
        <v xml:space="preserve">   940429</v>
      </c>
      <c r="B10799" t="str">
        <f>T("   Matelas à ressorts ou rembourrés, ou garnis intérieurement de matières autres que le caoutchouc alvéolaire ou les matières plastiques alvéolaires (sauf matelas à eau, matelas pneumatiques et oreillers)")</f>
        <v xml:space="preserve">   Matelas à ressorts ou rembourrés, ou garnis intérieurement de matières autres que le caoutchouc alvéolaire ou les matières plastiques alvéolaires (sauf matelas à eau, matelas pneumatiques et oreillers)</v>
      </c>
      <c r="C10799">
        <v>1472968</v>
      </c>
      <c r="D10799">
        <v>3245</v>
      </c>
    </row>
    <row r="10800" spans="1:4" x14ac:dyDescent="0.25">
      <c r="A10800" t="str">
        <f>T("   940490")</f>
        <v xml:space="preserve">   940490</v>
      </c>
      <c r="B10800" t="s">
        <v>508</v>
      </c>
      <c r="C10800">
        <v>224995</v>
      </c>
      <c r="D10800">
        <v>120</v>
      </c>
    </row>
    <row r="10801" spans="1:4" x14ac:dyDescent="0.25">
      <c r="A10801" t="str">
        <f>T("   940520")</f>
        <v xml:space="preserve">   940520</v>
      </c>
      <c r="B10801" t="str">
        <f>T("   Lampes de chevet, lampes de bureau et lampadaires d'intérieur, électriques")</f>
        <v xml:space="preserve">   Lampes de chevet, lampes de bureau et lampadaires d'intérieur, électriques</v>
      </c>
      <c r="C10801">
        <v>143805</v>
      </c>
      <c r="D10801">
        <v>85</v>
      </c>
    </row>
    <row r="10802" spans="1:4" x14ac:dyDescent="0.25">
      <c r="A10802" t="str">
        <f>T("   950341")</f>
        <v xml:space="preserve">   950341</v>
      </c>
      <c r="B10802" t="str">
        <f>T("   Jouets représentant des animaux ou des créatures non humaines, rembourrés")</f>
        <v xml:space="preserve">   Jouets représentant des animaux ou des créatures non humaines, rembourrés</v>
      </c>
      <c r="C10802">
        <v>13901</v>
      </c>
      <c r="D10802">
        <v>19</v>
      </c>
    </row>
    <row r="10803" spans="1:4" x14ac:dyDescent="0.25">
      <c r="A10803" t="str">
        <f>T("   950349")</f>
        <v xml:space="preserve">   950349</v>
      </c>
      <c r="B10803" t="str">
        <f>T("   JOUETS REPRÉSENTANT DES ANIMAUX OU DES CRÉATURES NON-HUMAINES, NON-REMBOURRÉS")</f>
        <v xml:space="preserve">   JOUETS REPRÉSENTANT DES ANIMAUX OU DES CRÉATURES NON-HUMAINES, NON-REMBOURRÉS</v>
      </c>
      <c r="C10803">
        <v>37389</v>
      </c>
      <c r="D10803">
        <v>51</v>
      </c>
    </row>
    <row r="10804" spans="1:4" x14ac:dyDescent="0.25">
      <c r="A10804" t="str">
        <f>T("   950390")</f>
        <v xml:space="preserve">   950390</v>
      </c>
      <c r="B10804" t="str">
        <f>T("   Jouets, n.d.a.")</f>
        <v xml:space="preserve">   Jouets, n.d.a.</v>
      </c>
      <c r="C10804">
        <v>8798123</v>
      </c>
      <c r="D10804">
        <v>17444</v>
      </c>
    </row>
    <row r="10805" spans="1:4" x14ac:dyDescent="0.25">
      <c r="A10805" t="str">
        <f>T("   950490")</f>
        <v xml:space="preserve">   950490</v>
      </c>
      <c r="B10805" t="s">
        <v>510</v>
      </c>
      <c r="C10805">
        <v>91895</v>
      </c>
      <c r="D10805">
        <v>2</v>
      </c>
    </row>
    <row r="10806" spans="1:4" x14ac:dyDescent="0.25">
      <c r="A10806" t="str">
        <f>T("   950662")</f>
        <v xml:space="preserve">   950662</v>
      </c>
      <c r="B10806" t="str">
        <f>T("   Ballons et balles gonflables")</f>
        <v xml:space="preserve">   Ballons et balles gonflables</v>
      </c>
      <c r="C10806">
        <v>143805</v>
      </c>
      <c r="D10806">
        <v>30</v>
      </c>
    </row>
    <row r="10807" spans="1:4" x14ac:dyDescent="0.25">
      <c r="A10807" t="str">
        <f>T("   950691")</f>
        <v xml:space="preserve">   950691</v>
      </c>
      <c r="B10807" t="str">
        <f>T("   Articles et matériel pour la culture physique, la gymnastique ou l'athlétisme")</f>
        <v xml:space="preserve">   Articles et matériel pour la culture physique, la gymnastique ou l'athlétisme</v>
      </c>
      <c r="C10807">
        <v>1566988</v>
      </c>
      <c r="D10807">
        <v>1975</v>
      </c>
    </row>
    <row r="10808" spans="1:4" x14ac:dyDescent="0.25">
      <c r="A10808" t="str">
        <f>T("   950699")</f>
        <v xml:space="preserve">   950699</v>
      </c>
      <c r="B10808" t="str">
        <f>T("   Articles et matériel pour le sport et les jeux de plein air, n.d.a.; piscines et pataugeoires")</f>
        <v xml:space="preserve">   Articles et matériel pour le sport et les jeux de plein air, n.d.a.; piscines et pataugeoires</v>
      </c>
      <c r="C10808">
        <v>2044731</v>
      </c>
      <c r="D10808">
        <v>9500</v>
      </c>
    </row>
    <row r="10809" spans="1:4" x14ac:dyDescent="0.25">
      <c r="A10809" t="str">
        <f>T("   960350")</f>
        <v xml:space="preserve">   960350</v>
      </c>
      <c r="B10809" t="str">
        <f>T("   Brosses constituant des parties de machines, d'appareils ou de véhicules")</f>
        <v xml:space="preserve">   Brosses constituant des parties de machines, d'appareils ou de véhicules</v>
      </c>
      <c r="C10809">
        <v>54936</v>
      </c>
      <c r="D10809">
        <v>4</v>
      </c>
    </row>
    <row r="10810" spans="1:4" x14ac:dyDescent="0.25">
      <c r="A10810" t="str">
        <f>T("   960810")</f>
        <v xml:space="preserve">   960810</v>
      </c>
      <c r="B10810" t="str">
        <f>T("   Stylos et crayons à bille")</f>
        <v xml:space="preserve">   Stylos et crayons à bille</v>
      </c>
      <c r="C10810">
        <v>18695</v>
      </c>
      <c r="D10810">
        <v>21</v>
      </c>
    </row>
    <row r="10811" spans="1:4" x14ac:dyDescent="0.25">
      <c r="A10811" t="str">
        <f>T("   960899")</f>
        <v xml:space="preserve">   960899</v>
      </c>
      <c r="B10811" t="str">
        <f>T("   PARTIES DE STYLOS ET CRAYONS À BILLE, STYLOS ET MARQUEURS À MÈCHE FEUTRE OU À AUTRES POINTES POREUSES, STYLOS ET PORTE-MINE, N.D.A.; PORTE-PLUME, PORTE-CRAYON ET ARTICLES SIMIL., STYLETS POUR DUPLICATEURS")</f>
        <v xml:space="preserve">   PARTIES DE STYLOS ET CRAYONS À BILLE, STYLOS ET MARQUEURS À MÈCHE FEUTRE OU À AUTRES POINTES POREUSES, STYLOS ET PORTE-MINE, N.D.A.; PORTE-PLUME, PORTE-CRAYON ET ARTICLES SIMIL., STYLETS POUR DUPLICATEURS</v>
      </c>
      <c r="C10811">
        <v>18969363</v>
      </c>
      <c r="D10811">
        <v>1666</v>
      </c>
    </row>
    <row r="10812" spans="1:4" x14ac:dyDescent="0.25">
      <c r="A10812" t="str">
        <f>T("   961700")</f>
        <v xml:space="preserve">   961700</v>
      </c>
      <c r="B10812" t="str">
        <f>T("   Bouteilles isolantes et autres récipients isothermiques montés, dont l'isolation est assurée par le vide, ainsi que leurs parties (à l'excl. des ampoules en verre)")</f>
        <v xml:space="preserve">   Bouteilles isolantes et autres récipients isothermiques montés, dont l'isolation est assurée par le vide, ainsi que leurs parties (à l'excl. des ampoules en verre)</v>
      </c>
      <c r="C10812">
        <v>1417122</v>
      </c>
      <c r="D10812">
        <v>83</v>
      </c>
    </row>
    <row r="10813" spans="1:4" x14ac:dyDescent="0.25">
      <c r="A10813" t="str">
        <f>T("UY")</f>
        <v>UY</v>
      </c>
      <c r="B10813" t="str">
        <f>T("Uruguay")</f>
        <v>Uruguay</v>
      </c>
    </row>
    <row r="10814" spans="1:4" x14ac:dyDescent="0.25">
      <c r="A10814" t="str">
        <f>T("   ZZ_Total_Produit_SH6")</f>
        <v xml:space="preserve">   ZZ_Total_Produit_SH6</v>
      </c>
      <c r="B10814" t="str">
        <f>T("   ZZ_Total_Produit_SH6")</f>
        <v xml:space="preserve">   ZZ_Total_Produit_SH6</v>
      </c>
      <c r="C10814">
        <v>914546236.19200003</v>
      </c>
      <c r="D10814">
        <v>3191462</v>
      </c>
    </row>
    <row r="10815" spans="1:4" x14ac:dyDescent="0.25">
      <c r="A10815" t="str">
        <f>T("   020712")</f>
        <v xml:space="preserve">   020712</v>
      </c>
      <c r="B10815" t="str">
        <f>T("   COQS ET POULES [DES ESPÈCES DOMESTIQUES], NON-DÉCOUPÉS EN MORCEAUX, CONGELÉS")</f>
        <v xml:space="preserve">   COQS ET POULES [DES ESPÈCES DOMESTIQUES], NON-DÉCOUPÉS EN MORCEAUX, CONGELÉS</v>
      </c>
      <c r="C10815">
        <v>16172038</v>
      </c>
      <c r="D10815">
        <v>26000</v>
      </c>
    </row>
    <row r="10816" spans="1:4" x14ac:dyDescent="0.25">
      <c r="A10816" t="str">
        <f>T("   020714")</f>
        <v xml:space="preserve">   020714</v>
      </c>
      <c r="B10816" t="str">
        <f>T("   Morceaux et abats comestibles de coqs et de poules [des espèces domestiques], congelés")</f>
        <v xml:space="preserve">   Morceaux et abats comestibles de coqs et de poules [des espèces domestiques], congelés</v>
      </c>
      <c r="C10816">
        <v>15798800</v>
      </c>
      <c r="D10816">
        <v>25400</v>
      </c>
    </row>
    <row r="10817" spans="1:4" x14ac:dyDescent="0.25">
      <c r="A10817" t="str">
        <f>T("   020727")</f>
        <v xml:space="preserve">   020727</v>
      </c>
      <c r="B10817" t="str">
        <f>T("   Morceaux et abats comestibles de dindes et dindons [des espèces domestiques], congelés")</f>
        <v xml:space="preserve">   Morceaux et abats comestibles de dindes et dindons [des espèces domestiques], congelés</v>
      </c>
      <c r="C10817">
        <v>30478526</v>
      </c>
      <c r="D10817">
        <v>49000</v>
      </c>
    </row>
    <row r="10818" spans="1:4" x14ac:dyDescent="0.25">
      <c r="A10818" t="str">
        <f>T("   030219")</f>
        <v xml:space="preserve">   030219</v>
      </c>
      <c r="B10818" t="str">
        <f>T("   Salmonidés, frais ou réfrigérés (à l'excl. des truites et des saumons du Pacifique, de l'Atlantique et du Danube)")</f>
        <v xml:space="preserve">   Salmonidés, frais ou réfrigérés (à l'excl. des truites et des saumons du Pacifique, de l'Atlantique et du Danube)</v>
      </c>
      <c r="C10818">
        <v>12599680</v>
      </c>
      <c r="D10818">
        <v>56000</v>
      </c>
    </row>
    <row r="10819" spans="1:4" x14ac:dyDescent="0.25">
      <c r="A10819" t="str">
        <f>T("   030379")</f>
        <v xml:space="preserve">   030379</v>
      </c>
      <c r="B10819" t="s">
        <v>15</v>
      </c>
      <c r="C10819">
        <v>18899520</v>
      </c>
      <c r="D10819">
        <v>84000</v>
      </c>
    </row>
    <row r="10820" spans="1:4" x14ac:dyDescent="0.25">
      <c r="A10820" t="str">
        <f>T("   100630")</f>
        <v xml:space="preserve">   100630</v>
      </c>
      <c r="B10820" t="str">
        <f>T("   Riz semi-blanchi ou blanchi, même poli ou glacé")</f>
        <v xml:space="preserve">   Riz semi-blanchi ou blanchi, même poli ou glacé</v>
      </c>
      <c r="C10820">
        <v>786837833.19200003</v>
      </c>
      <c r="D10820">
        <v>2800000</v>
      </c>
    </row>
    <row r="10821" spans="1:4" x14ac:dyDescent="0.25">
      <c r="A10821" t="str">
        <f>T("   160100")</f>
        <v xml:space="preserve">   160100</v>
      </c>
      <c r="B10821" t="str">
        <f>T("   Saucisses, saucissons et produits simil., de viande, d'abats ou de sang; préparations alimentaires à base de ces produits")</f>
        <v xml:space="preserve">   Saucisses, saucissons et produits simil., de viande, d'abats ou de sang; préparations alimentaires à base de ces produits</v>
      </c>
      <c r="C10821">
        <v>18750000</v>
      </c>
      <c r="D10821">
        <v>25998</v>
      </c>
    </row>
    <row r="10822" spans="1:4" x14ac:dyDescent="0.25">
      <c r="A10822" t="str">
        <f>T("   170199")</f>
        <v xml:space="preserve">   170199</v>
      </c>
      <c r="B10822" t="str">
        <f>T("   Sucres de canne ou de betterave et saccharose chimiquement pur, à l'état solide (à l'excl. des sucres bruts et des sucres de canne ou de betterave additionnés d'aromatisants ou de colorants)")</f>
        <v xml:space="preserve">   Sucres de canne ou de betterave et saccharose chimiquement pur, à l'état solide (à l'excl. des sucres bruts et des sucres de canne ou de betterave additionnés d'aromatisants ou de colorants)</v>
      </c>
      <c r="C10822">
        <v>15000000</v>
      </c>
      <c r="D10822">
        <v>125000</v>
      </c>
    </row>
    <row r="10823" spans="1:4" x14ac:dyDescent="0.25">
      <c r="A10823" t="str">
        <f>T("   630590")</f>
        <v xml:space="preserve">   630590</v>
      </c>
      <c r="B10823" t="str">
        <f>T("   Sacs et sachets d'emballage de matières textiles (autres qu'en matières textiles synthétiques ou artificielles, coton, jute ou autres fibres textiles libérienne du n° 5303)")</f>
        <v xml:space="preserve">   Sacs et sachets d'emballage de matières textiles (autres qu'en matières textiles synthétiques ou artificielles, coton, jute ou autres fibres textiles libérienne du n° 5303)</v>
      </c>
      <c r="C10823">
        <v>9839</v>
      </c>
      <c r="D10823">
        <v>64</v>
      </c>
    </row>
    <row r="10824" spans="1:4" x14ac:dyDescent="0.25">
      <c r="A10824" t="str">
        <f>T("VE")</f>
        <v>VE</v>
      </c>
      <c r="B10824" t="str">
        <f>T("Venezuela")</f>
        <v>Venezuela</v>
      </c>
    </row>
    <row r="10825" spans="1:4" x14ac:dyDescent="0.25">
      <c r="A10825" t="str">
        <f>T("   ZZ_Total_Produit_SH6")</f>
        <v xml:space="preserve">   ZZ_Total_Produit_SH6</v>
      </c>
      <c r="B10825" t="str">
        <f>T("   ZZ_Total_Produit_SH6")</f>
        <v xml:space="preserve">   ZZ_Total_Produit_SH6</v>
      </c>
      <c r="C10825">
        <v>5190943362</v>
      </c>
      <c r="D10825">
        <v>16835988</v>
      </c>
    </row>
    <row r="10826" spans="1:4" x14ac:dyDescent="0.25">
      <c r="A10826" t="str">
        <f>T("   020712")</f>
        <v xml:space="preserve">   020712</v>
      </c>
      <c r="B10826" t="str">
        <f>T("   COQS ET POULES [DES ESPÈCES DOMESTIQUES], NON-DÉCOUPÉS EN MORCEAUX, CONGELÉS")</f>
        <v xml:space="preserve">   COQS ET POULES [DES ESPÈCES DOMESTIQUES], NON-DÉCOUPÉS EN MORCEAUX, CONGELÉS</v>
      </c>
      <c r="C10826">
        <v>15550188</v>
      </c>
      <c r="D10826">
        <v>25000</v>
      </c>
    </row>
    <row r="10827" spans="1:4" x14ac:dyDescent="0.25">
      <c r="A10827" t="str">
        <f>T("   271011")</f>
        <v xml:space="preserve">   271011</v>
      </c>
      <c r="B10827" t="str">
        <f>T("   HUILES LÉGÈRES ET PRÉPARATIONS DE PÉTROLE OU DE MINÉRAUX BITUMINEUX DISTILLANT EN VOLUME, Y.C. LES PERTES, &gt;= 90% À 210°C, D'APRÈS LA MÉTHODE ASTM D 86")</f>
        <v xml:space="preserve">   HUILES LÉGÈRES ET PRÉPARATIONS DE PÉTROLE OU DE MINÉRAUX BITUMINEUX DISTILLANT EN VOLUME, Y.C. LES PERTES, &gt;= 90% À 210°C, D'APRÈS LA MÉTHODE ASTM D 86</v>
      </c>
      <c r="C10827">
        <v>4200921015</v>
      </c>
      <c r="D10827">
        <v>12257978</v>
      </c>
    </row>
    <row r="10828" spans="1:4" x14ac:dyDescent="0.25">
      <c r="A10828" t="str">
        <f>T("   271019")</f>
        <v xml:space="preserve">   271019</v>
      </c>
      <c r="B10828" t="str">
        <f>T("   Huiles moyennes et préparations, de pétrole ou de minéraux bitumineux, n.d.a.")</f>
        <v xml:space="preserve">   Huiles moyennes et préparations, de pétrole ou de minéraux bitumineux, n.d.a.</v>
      </c>
      <c r="C10828">
        <v>974472159</v>
      </c>
      <c r="D10828">
        <v>4553010</v>
      </c>
    </row>
    <row r="10829" spans="1:4" x14ac:dyDescent="0.25">
      <c r="A10829" t="str">
        <f>T("VN")</f>
        <v>VN</v>
      </c>
      <c r="B10829" t="str">
        <f>T("Vietnam")</f>
        <v>Vietnam</v>
      </c>
    </row>
    <row r="10830" spans="1:4" x14ac:dyDescent="0.25">
      <c r="A10830" t="str">
        <f>T("   ZZ_Total_Produit_SH6")</f>
        <v xml:space="preserve">   ZZ_Total_Produit_SH6</v>
      </c>
      <c r="B10830" t="str">
        <f>T("   ZZ_Total_Produit_SH6")</f>
        <v xml:space="preserve">   ZZ_Total_Produit_SH6</v>
      </c>
      <c r="C10830">
        <v>821038009.72399998</v>
      </c>
      <c r="D10830">
        <v>4385734.5</v>
      </c>
    </row>
    <row r="10831" spans="1:4" x14ac:dyDescent="0.25">
      <c r="A10831" t="str">
        <f>T("   100630")</f>
        <v xml:space="preserve">   100630</v>
      </c>
      <c r="B10831" t="str">
        <f>T("   Riz semi-blanchi ou blanchi, même poli ou glacé")</f>
        <v xml:space="preserve">   Riz semi-blanchi ou blanchi, même poli ou glacé</v>
      </c>
      <c r="C10831">
        <v>473928455.72399998</v>
      </c>
      <c r="D10831">
        <v>1669124</v>
      </c>
    </row>
    <row r="10832" spans="1:4" x14ac:dyDescent="0.25">
      <c r="A10832" t="str">
        <f>T("   100640")</f>
        <v xml:space="preserve">   100640</v>
      </c>
      <c r="B10832" t="str">
        <f>T("   Riz en brisures")</f>
        <v xml:space="preserve">   Riz en brisures</v>
      </c>
      <c r="C10832">
        <v>68000000</v>
      </c>
      <c r="D10832">
        <v>212500</v>
      </c>
    </row>
    <row r="10833" spans="1:4" x14ac:dyDescent="0.25">
      <c r="A10833" t="str">
        <f>T("   190531")</f>
        <v xml:space="preserve">   190531</v>
      </c>
      <c r="B10833" t="str">
        <f>T("   Biscuits additionnés d'édulcorants")</f>
        <v xml:space="preserve">   Biscuits additionnés d'édulcorants</v>
      </c>
      <c r="C10833">
        <v>14413576</v>
      </c>
      <c r="D10833">
        <v>16397</v>
      </c>
    </row>
    <row r="10834" spans="1:4" x14ac:dyDescent="0.25">
      <c r="A10834" t="str">
        <f>T("   190532")</f>
        <v xml:space="preserve">   190532</v>
      </c>
      <c r="B10834" t="str">
        <f>T("   GAUFRES ET GAUFRETTES")</f>
        <v xml:space="preserve">   GAUFRES ET GAUFRETTES</v>
      </c>
      <c r="C10834">
        <v>2641218</v>
      </c>
      <c r="D10834">
        <v>2423</v>
      </c>
    </row>
    <row r="10835" spans="1:4" x14ac:dyDescent="0.25">
      <c r="A10835" t="str">
        <f>T("   190590")</f>
        <v xml:space="preserve">   190590</v>
      </c>
      <c r="B10835" t="s">
        <v>50</v>
      </c>
      <c r="C10835">
        <v>18059325</v>
      </c>
      <c r="D10835">
        <v>20357</v>
      </c>
    </row>
    <row r="10836" spans="1:4" x14ac:dyDescent="0.25">
      <c r="A10836" t="str">
        <f>T("   200390")</f>
        <v xml:space="preserve">   200390</v>
      </c>
      <c r="B10836" t="str">
        <f>T("   Champignons, préparés ou conservés autrement qu'au vinaigre ou à l'acide acétique (à l'excl. des champignons du genre 'Agaricus')")</f>
        <v xml:space="preserve">   Champignons, préparés ou conservés autrement qu'au vinaigre ou à l'acide acétique (à l'excl. des champignons du genre 'Agaricus')</v>
      </c>
      <c r="C10836">
        <v>944320</v>
      </c>
      <c r="D10836">
        <v>1660</v>
      </c>
    </row>
    <row r="10837" spans="1:4" x14ac:dyDescent="0.25">
      <c r="A10837" t="str">
        <f>T("   210310")</f>
        <v xml:space="preserve">   210310</v>
      </c>
      <c r="B10837" t="str">
        <f>T("   SAUCE DE SOJA")</f>
        <v xml:space="preserve">   SAUCE DE SOJA</v>
      </c>
      <c r="C10837">
        <v>2691071</v>
      </c>
      <c r="D10837">
        <v>5840</v>
      </c>
    </row>
    <row r="10838" spans="1:4" x14ac:dyDescent="0.25">
      <c r="A10838" t="str">
        <f>T("   441299")</f>
        <v xml:space="preserve">   441299</v>
      </c>
      <c r="B10838" t="s">
        <v>180</v>
      </c>
      <c r="C10838">
        <v>54218320</v>
      </c>
      <c r="D10838">
        <v>208446</v>
      </c>
    </row>
    <row r="10839" spans="1:4" x14ac:dyDescent="0.25">
      <c r="A10839" t="str">
        <f>T("   551349")</f>
        <v xml:space="preserve">   551349</v>
      </c>
      <c r="B10839" t="str">
        <f>T("   Tissus, imprimés, de fibres synthétiques discontinues, contenant en prédominance, mais &lt; 85% en poids de ces fibres, mélangés principalement ou uniquement avec du coton, d'un poids &lt;= 170 g/m² (à l'excl. des tissus de fibres discontinues de polyester)")</f>
        <v xml:space="preserve">   Tissus, imprimés, de fibres synthétiques discontinues, contenant en prédominance, mais &lt; 85% en poids de ces fibres, mélangés principalement ou uniquement avec du coton, d'un poids &lt;= 170 g/m² (à l'excl. des tissus de fibres discontinues de polyester)</v>
      </c>
      <c r="C10839">
        <v>6560256</v>
      </c>
      <c r="D10839">
        <v>19968</v>
      </c>
    </row>
    <row r="10840" spans="1:4" x14ac:dyDescent="0.25">
      <c r="A10840" t="str">
        <f>T("   620590")</f>
        <v xml:space="preserve">   620590</v>
      </c>
      <c r="B10840"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10840">
        <v>1200000</v>
      </c>
      <c r="D10840">
        <v>900</v>
      </c>
    </row>
    <row r="10841" spans="1:4" x14ac:dyDescent="0.25">
      <c r="A10841" t="str">
        <f>T("   681019")</f>
        <v xml:space="preserve">   681019</v>
      </c>
      <c r="B10841" t="str">
        <f>T("   Tuiles, carreaux, dalles et articles simil., en ciment, en béton ou en pierre artificielle (autres que blocs et briques pour la construction)")</f>
        <v xml:space="preserve">   Tuiles, carreaux, dalles et articles simil., en ciment, en béton ou en pierre artificielle (autres que blocs et briques pour la construction)</v>
      </c>
      <c r="C10841">
        <v>90486958</v>
      </c>
      <c r="D10841">
        <v>1097350</v>
      </c>
    </row>
    <row r="10842" spans="1:4" x14ac:dyDescent="0.25">
      <c r="A10842" t="str">
        <f>T("   690510")</f>
        <v xml:space="preserve">   690510</v>
      </c>
      <c r="B10842" t="str">
        <f>T("   Tuiles")</f>
        <v xml:space="preserve">   Tuiles</v>
      </c>
      <c r="C10842">
        <v>61418000</v>
      </c>
      <c r="D10842">
        <v>1093110</v>
      </c>
    </row>
    <row r="10843" spans="1:4" x14ac:dyDescent="0.25">
      <c r="A10843" t="str">
        <f>T("   702000")</f>
        <v xml:space="preserve">   702000</v>
      </c>
      <c r="B10843" t="str">
        <f>T("   Ouvrages en verre n.d.a.")</f>
        <v xml:space="preserve">   Ouvrages en verre n.d.a.</v>
      </c>
      <c r="C10843">
        <v>3643136</v>
      </c>
      <c r="D10843">
        <v>2413</v>
      </c>
    </row>
    <row r="10844" spans="1:4" x14ac:dyDescent="0.25">
      <c r="A10844" t="str">
        <f>T("   732394")</f>
        <v xml:space="preserve">   732394</v>
      </c>
      <c r="B10844" t="s">
        <v>361</v>
      </c>
      <c r="C10844">
        <v>800000</v>
      </c>
      <c r="D10844">
        <v>466</v>
      </c>
    </row>
    <row r="10845" spans="1:4" x14ac:dyDescent="0.25">
      <c r="A10845" t="str">
        <f>T("   830300")</f>
        <v xml:space="preserve">   830300</v>
      </c>
      <c r="B10845" t="str">
        <f>T("   Coffres-forts, portes blindées et compartiments pour chambres fortes, coffres et cassettes de sûreté et articles simil., en métaux communs")</f>
        <v xml:space="preserve">   Coffres-forts, portes blindées et compartiments pour chambres fortes, coffres et cassettes de sûreté et articles simil., en métaux communs</v>
      </c>
      <c r="C10845">
        <v>5461774</v>
      </c>
      <c r="D10845">
        <v>16478</v>
      </c>
    </row>
    <row r="10846" spans="1:4" x14ac:dyDescent="0.25">
      <c r="A10846" t="str">
        <f>T("   846599")</f>
        <v xml:space="preserve">   846599</v>
      </c>
      <c r="B10846" t="s">
        <v>430</v>
      </c>
      <c r="C10846">
        <v>282600</v>
      </c>
      <c r="D10846">
        <v>162.5</v>
      </c>
    </row>
    <row r="10847" spans="1:4" x14ac:dyDescent="0.25">
      <c r="A10847" t="str">
        <f>T("   852812")</f>
        <v xml:space="preserve">   852812</v>
      </c>
      <c r="B10847"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10847">
        <v>13789000</v>
      </c>
      <c r="D10847">
        <v>15340</v>
      </c>
    </row>
    <row r="10848" spans="1:4" x14ac:dyDescent="0.25">
      <c r="A10848" t="str">
        <f>T("   940350")</f>
        <v xml:space="preserve">   940350</v>
      </c>
      <c r="B10848" t="str">
        <f>T("   Meubles pour chambres à coucher, en bois (sauf sièges)")</f>
        <v xml:space="preserve">   Meubles pour chambres à coucher, en bois (sauf sièges)</v>
      </c>
      <c r="C10848">
        <v>2500000</v>
      </c>
      <c r="D10848">
        <v>2800</v>
      </c>
    </row>
    <row r="10849" spans="1:4" x14ac:dyDescent="0.25">
      <c r="A10849" t="str">
        <f>T("YE")</f>
        <v>YE</v>
      </c>
      <c r="B10849" t="str">
        <f>T("Yémen")</f>
        <v>Yémen</v>
      </c>
    </row>
    <row r="10850" spans="1:4" x14ac:dyDescent="0.25">
      <c r="A10850" t="str">
        <f>T("   ZZ_Total_Produit_SH6")</f>
        <v xml:space="preserve">   ZZ_Total_Produit_SH6</v>
      </c>
      <c r="B10850" t="str">
        <f>T("   ZZ_Total_Produit_SH6")</f>
        <v xml:space="preserve">   ZZ_Total_Produit_SH6</v>
      </c>
      <c r="C10850">
        <v>14356341</v>
      </c>
      <c r="D10850">
        <v>32138</v>
      </c>
    </row>
    <row r="10851" spans="1:4" x14ac:dyDescent="0.25">
      <c r="A10851" t="str">
        <f>T("   030229")</f>
        <v xml:space="preserve">   030229</v>
      </c>
      <c r="B10851" t="str">
        <f>T("   POISSONS PLATS [PLEURONECTIDÉS, BOTHIDÉS, CYNOGLOSSIDÉS, SOLÉIDÉS, SCOPHTHALMIDÉS ET CITHARIDÉS], FRAIS OU RÉFRIGÉRÉS (À L'EXCL. DES FLÉTANS, DES PLIES OU CARRELETS ET DES SOLES)")</f>
        <v xml:space="preserve">   POISSONS PLATS [PLEURONECTIDÉS, BOTHIDÉS, CYNOGLOSSIDÉS, SOLÉIDÉS, SCOPHTHALMIDÉS ET CITHARIDÉS], FRAIS OU RÉFRIGÉRÉS (À L'EXCL. DES FLÉTANS, DES PLIES OU CARRELETS ET DES SOLES)</v>
      </c>
      <c r="C10851">
        <v>5625513</v>
      </c>
      <c r="D10851">
        <v>13769</v>
      </c>
    </row>
    <row r="10852" spans="1:4" x14ac:dyDescent="0.25">
      <c r="A10852" t="str">
        <f>T("   271019")</f>
        <v xml:space="preserve">   271019</v>
      </c>
      <c r="B10852" t="str">
        <f>T("   Huiles moyennes et préparations, de pétrole ou de minéraux bitumineux, n.d.a.")</f>
        <v xml:space="preserve">   Huiles moyennes et préparations, de pétrole ou de minéraux bitumineux, n.d.a.</v>
      </c>
      <c r="C10852">
        <v>8730828</v>
      </c>
      <c r="D10852">
        <v>18369</v>
      </c>
    </row>
    <row r="10853" spans="1:4" x14ac:dyDescent="0.25">
      <c r="A10853" t="str">
        <f>T("YU")</f>
        <v>YU</v>
      </c>
      <c r="B10853" t="str">
        <f>T("Yougoslavie")</f>
        <v>Yougoslavie</v>
      </c>
    </row>
    <row r="10854" spans="1:4" x14ac:dyDescent="0.25">
      <c r="A10854" t="str">
        <f>T("   ZZ_Total_Produit_SH6")</f>
        <v xml:space="preserve">   ZZ_Total_Produit_SH6</v>
      </c>
      <c r="B10854" t="str">
        <f>T("   ZZ_Total_Produit_SH6")</f>
        <v xml:space="preserve">   ZZ_Total_Produit_SH6</v>
      </c>
      <c r="C10854">
        <v>23691307</v>
      </c>
      <c r="D10854">
        <v>17600</v>
      </c>
    </row>
    <row r="10855" spans="1:4" x14ac:dyDescent="0.25">
      <c r="A10855" t="str">
        <f>T("   390750")</f>
        <v xml:space="preserve">   390750</v>
      </c>
      <c r="B10855" t="str">
        <f>T("   Résines alkydes, sous formes primaires")</f>
        <v xml:space="preserve">   Résines alkydes, sous formes primaires</v>
      </c>
      <c r="C10855">
        <v>23691307</v>
      </c>
      <c r="D10855">
        <v>17600</v>
      </c>
    </row>
    <row r="10856" spans="1:4" x14ac:dyDescent="0.25">
      <c r="A10856" t="str">
        <f>T("Z2")</f>
        <v>Z2</v>
      </c>
      <c r="B10856" t="str">
        <f>T("Pays non défini")</f>
        <v>Pays non défini</v>
      </c>
    </row>
    <row r="10857" spans="1:4" x14ac:dyDescent="0.25">
      <c r="A10857" t="str">
        <f>T("   ZZ_Total_Produit_SH6")</f>
        <v xml:space="preserve">   ZZ_Total_Produit_SH6</v>
      </c>
      <c r="B10857" t="str">
        <f>T("   ZZ_Total_Produit_SH6")</f>
        <v xml:space="preserve">   ZZ_Total_Produit_SH6</v>
      </c>
      <c r="C10857">
        <v>1321586019.654</v>
      </c>
      <c r="D10857">
        <v>8415971</v>
      </c>
    </row>
    <row r="10858" spans="1:4" x14ac:dyDescent="0.25">
      <c r="A10858" t="str">
        <f>T("   010599")</f>
        <v xml:space="preserve">   010599</v>
      </c>
      <c r="B10858" t="str">
        <f>T("   Canards, oies, dindons, dindes et pintades [des espèces domestiques], vivants, d'un poids &gt; 185 g")</f>
        <v xml:space="preserve">   Canards, oies, dindons, dindes et pintades [des espèces domestiques], vivants, d'un poids &gt; 185 g</v>
      </c>
      <c r="C10858">
        <v>6812000</v>
      </c>
      <c r="D10858">
        <v>78424</v>
      </c>
    </row>
    <row r="10859" spans="1:4" x14ac:dyDescent="0.25">
      <c r="A10859" t="str">
        <f>T("   020329")</f>
        <v xml:space="preserve">   020329</v>
      </c>
      <c r="B10859" t="str">
        <f>T("   VIANDES DES ANIMAUX DE L'ESPÈCE PORCINE, CONGELÉES (À L'EXCL. DES CARCASSES OU DEMI-CARCASSES ET DES JAMBONS, ÉPAULES ET LEURS MORCEAUX, NON-DÉSOSSÉS)")</f>
        <v xml:space="preserve">   VIANDES DES ANIMAUX DE L'ESPÈCE PORCINE, CONGELÉES (À L'EXCL. DES CARCASSES OU DEMI-CARCASSES ET DES JAMBONS, ÉPAULES ET LEURS MORCEAUX, NON-DÉSOSSÉS)</v>
      </c>
      <c r="C10859">
        <v>3160000</v>
      </c>
      <c r="D10859">
        <v>26680</v>
      </c>
    </row>
    <row r="10860" spans="1:4" x14ac:dyDescent="0.25">
      <c r="A10860" t="str">
        <f>T("   020727")</f>
        <v xml:space="preserve">   020727</v>
      </c>
      <c r="B10860" t="str">
        <f>T("   Morceaux et abats comestibles de dindes et dindons [des espèces domestiques], congelés")</f>
        <v xml:space="preserve">   Morceaux et abats comestibles de dindes et dindons [des espèces domestiques], congelés</v>
      </c>
      <c r="C10860">
        <v>19296550</v>
      </c>
      <c r="D10860">
        <v>26300</v>
      </c>
    </row>
    <row r="10861" spans="1:4" x14ac:dyDescent="0.25">
      <c r="A10861" t="str">
        <f>T("   030229")</f>
        <v xml:space="preserve">   030229</v>
      </c>
      <c r="B10861" t="str">
        <f>T("   POISSONS PLATS [PLEURONECTIDÉS, BOTHIDÉS, CYNOGLOSSIDÉS, SOLÉIDÉS, SCOPHTHALMIDÉS ET CITHARIDÉS], FRAIS OU RÉFRIGÉRÉS (À L'EXCL. DES FLÉTANS, DES PLIES OU CARRELETS ET DES SOLES)")</f>
        <v xml:space="preserve">   POISSONS PLATS [PLEURONECTIDÉS, BOTHIDÉS, CYNOGLOSSIDÉS, SOLÉIDÉS, SCOPHTHALMIDÉS ET CITHARIDÉS], FRAIS OU RÉFRIGÉRÉS (À L'EXCL. DES FLÉTANS, DES PLIES OU CARRELETS ET DES SOLES)</v>
      </c>
      <c r="C10861">
        <v>1810000</v>
      </c>
      <c r="D10861">
        <v>26250</v>
      </c>
    </row>
    <row r="10862" spans="1:4" x14ac:dyDescent="0.25">
      <c r="A10862" t="str">
        <f>T("   040110")</f>
        <v xml:space="preserve">   040110</v>
      </c>
      <c r="B10862" t="str">
        <f>T("   LAIT ET CRÈME DE LAIT, NON-CONCENTRÉS NI ADDITIONNÉS DE SUCRE OU D'AUTRES ÉDULCORANTS, D'UNE TENEUR EN POIDS DE MATIÈRES GRASSES &lt;= 1%")</f>
        <v xml:space="preserve">   LAIT ET CRÈME DE LAIT, NON-CONCENTRÉS NI ADDITIONNÉS DE SUCRE OU D'AUTRES ÉDULCORANTS, D'UNE TENEUR EN POIDS DE MATIÈRES GRASSES &lt;= 1%</v>
      </c>
      <c r="C10862">
        <v>1448000</v>
      </c>
      <c r="D10862">
        <v>19845</v>
      </c>
    </row>
    <row r="10863" spans="1:4" x14ac:dyDescent="0.25">
      <c r="A10863" t="str">
        <f>T("   080610")</f>
        <v xml:space="preserve">   080610</v>
      </c>
      <c r="B10863" t="str">
        <f>T("   Raisins, frais")</f>
        <v xml:space="preserve">   Raisins, frais</v>
      </c>
      <c r="C10863">
        <v>529000</v>
      </c>
      <c r="D10863">
        <v>17000</v>
      </c>
    </row>
    <row r="10864" spans="1:4" x14ac:dyDescent="0.25">
      <c r="A10864" t="str">
        <f>T("   091091")</f>
        <v xml:space="preserve">   091091</v>
      </c>
      <c r="B10864" t="str">
        <f>T("   Mélanges d'épices")</f>
        <v xml:space="preserve">   Mélanges d'épices</v>
      </c>
      <c r="C10864">
        <v>4571000</v>
      </c>
      <c r="D10864">
        <v>28000</v>
      </c>
    </row>
    <row r="10865" spans="1:4" x14ac:dyDescent="0.25">
      <c r="A10865" t="str">
        <f>T("   100610")</f>
        <v xml:space="preserve">   100610</v>
      </c>
      <c r="B10865" t="str">
        <f>T("   Riz en paille [riz paddy]")</f>
        <v xml:space="preserve">   Riz en paille [riz paddy]</v>
      </c>
      <c r="C10865">
        <v>920000</v>
      </c>
      <c r="D10865">
        <v>83050</v>
      </c>
    </row>
    <row r="10866" spans="1:4" x14ac:dyDescent="0.25">
      <c r="A10866" t="str">
        <f>T("   100630")</f>
        <v xml:space="preserve">   100630</v>
      </c>
      <c r="B10866" t="str">
        <f>T("   Riz semi-blanchi ou blanchi, même poli ou glacé")</f>
        <v xml:space="preserve">   Riz semi-blanchi ou blanchi, même poli ou glacé</v>
      </c>
      <c r="C10866">
        <v>9439591.4820000008</v>
      </c>
      <c r="D10866">
        <v>52000</v>
      </c>
    </row>
    <row r="10867" spans="1:4" x14ac:dyDescent="0.25">
      <c r="A10867" t="str">
        <f>T("   100640")</f>
        <v xml:space="preserve">   100640</v>
      </c>
      <c r="B10867" t="str">
        <f>T("   Riz en brisures")</f>
        <v xml:space="preserve">   Riz en brisures</v>
      </c>
      <c r="C10867">
        <v>17118439.171999998</v>
      </c>
      <c r="D10867">
        <v>78659</v>
      </c>
    </row>
    <row r="10868" spans="1:4" x14ac:dyDescent="0.25">
      <c r="A10868" t="str">
        <f>T("   180100")</f>
        <v xml:space="preserve">   180100</v>
      </c>
      <c r="B10868" t="str">
        <f>T("   Cacao en fèves et brisures de fèves, bruts ou torréfiés")</f>
        <v xml:space="preserve">   Cacao en fèves et brisures de fèves, bruts ou torréfiés</v>
      </c>
      <c r="C10868">
        <v>529000</v>
      </c>
      <c r="D10868">
        <v>23304</v>
      </c>
    </row>
    <row r="10869" spans="1:4" x14ac:dyDescent="0.25">
      <c r="A10869" t="str">
        <f>T("   180320")</f>
        <v xml:space="preserve">   180320</v>
      </c>
      <c r="B10869" t="str">
        <f>T("   Pâte de cacao, complètement ou partiellement dégraissée")</f>
        <v xml:space="preserve">   Pâte de cacao, complètement ou partiellement dégraissée</v>
      </c>
      <c r="C10869">
        <v>885000</v>
      </c>
      <c r="D10869">
        <v>24540</v>
      </c>
    </row>
    <row r="10870" spans="1:4" x14ac:dyDescent="0.25">
      <c r="A10870" t="str">
        <f>T("   180620")</f>
        <v xml:space="preserve">   180620</v>
      </c>
      <c r="B10870" t="s">
        <v>45</v>
      </c>
      <c r="C10870">
        <v>2720000</v>
      </c>
      <c r="D10870">
        <v>23975</v>
      </c>
    </row>
    <row r="10871" spans="1:4" x14ac:dyDescent="0.25">
      <c r="A10871" t="str">
        <f>T("   190219")</f>
        <v xml:space="preserve">   190219</v>
      </c>
      <c r="B10871" t="str">
        <f>T("   PÂTES ALIMENTAIRES NON-CUITES NI FARCIES NI AUTREMENT PRÉPARÉES, NE CONTENANT PAS D'OEUFS")</f>
        <v xml:space="preserve">   PÂTES ALIMENTAIRES NON-CUITES NI FARCIES NI AUTREMENT PRÉPARÉES, NE CONTENANT PAS D'OEUFS</v>
      </c>
      <c r="C10871">
        <v>1964000</v>
      </c>
      <c r="D10871">
        <v>53990</v>
      </c>
    </row>
    <row r="10872" spans="1:4" x14ac:dyDescent="0.25">
      <c r="A10872" t="str">
        <f>T("   190240")</f>
        <v xml:space="preserve">   190240</v>
      </c>
      <c r="B10872" t="str">
        <f>T("   Couscous, même préparé")</f>
        <v xml:space="preserve">   Couscous, même préparé</v>
      </c>
      <c r="C10872">
        <v>1800000</v>
      </c>
      <c r="D10872">
        <v>53950</v>
      </c>
    </row>
    <row r="10873" spans="1:4" x14ac:dyDescent="0.25">
      <c r="A10873" t="str">
        <f>T("   220300")</f>
        <v xml:space="preserve">   220300</v>
      </c>
      <c r="B10873" t="str">
        <f>T("   Bières de malt")</f>
        <v xml:space="preserve">   Bières de malt</v>
      </c>
      <c r="C10873">
        <v>8750000</v>
      </c>
      <c r="D10873">
        <v>272530</v>
      </c>
    </row>
    <row r="10874" spans="1:4" x14ac:dyDescent="0.25">
      <c r="A10874" t="str">
        <f>T("   220830")</f>
        <v xml:space="preserve">   220830</v>
      </c>
      <c r="B10874" t="str">
        <f>T("   Whiskies")</f>
        <v xml:space="preserve">   Whiskies</v>
      </c>
      <c r="C10874">
        <v>2175000</v>
      </c>
      <c r="D10874">
        <v>35963</v>
      </c>
    </row>
    <row r="10875" spans="1:4" x14ac:dyDescent="0.25">
      <c r="A10875" t="str">
        <f>T("   220890")</f>
        <v xml:space="preserve">   220890</v>
      </c>
      <c r="B10875" t="s">
        <v>58</v>
      </c>
      <c r="C10875">
        <v>885000</v>
      </c>
      <c r="D10875">
        <v>12500</v>
      </c>
    </row>
    <row r="10876" spans="1:4" x14ac:dyDescent="0.25">
      <c r="A10876" t="str">
        <f>T("   280429")</f>
        <v xml:space="preserve">   280429</v>
      </c>
      <c r="B10876" t="str">
        <f>T("   Gaz rares (à l'excl. de l'argon)")</f>
        <v xml:space="preserve">   Gaz rares (à l'excl. de l'argon)</v>
      </c>
      <c r="C10876">
        <v>808000</v>
      </c>
      <c r="D10876">
        <v>19090</v>
      </c>
    </row>
    <row r="10877" spans="1:4" x14ac:dyDescent="0.25">
      <c r="A10877" t="str">
        <f>T("   284290")</f>
        <v xml:space="preserve">   284290</v>
      </c>
      <c r="B10877" t="s">
        <v>64</v>
      </c>
      <c r="C10877">
        <v>1035000</v>
      </c>
      <c r="D10877">
        <v>140560</v>
      </c>
    </row>
    <row r="10878" spans="1:4" x14ac:dyDescent="0.25">
      <c r="A10878" t="str">
        <f>T("   285100")</f>
        <v xml:space="preserve">   285100</v>
      </c>
      <c r="B10878" t="str">
        <f>T("   Composés inorganiques, y.c. les eaux distillées, de conductibilité ou de même degré de pureté, n.d.a.; air liquide, y.c. l'air liquide dont les gaz ont été éliminés; air comprimé; amalgames (autres que de métaux précieux)")</f>
        <v xml:space="preserve">   Composés inorganiques, y.c. les eaux distillées, de conductibilité ou de même degré de pureté, n.d.a.; air liquide, y.c. l'air liquide dont les gaz ont été éliminés; air comprimé; amalgames (autres que de métaux précieux)</v>
      </c>
      <c r="C10878">
        <v>1160000</v>
      </c>
      <c r="D10878">
        <v>40018</v>
      </c>
    </row>
    <row r="10879" spans="1:4" x14ac:dyDescent="0.25">
      <c r="A10879" t="str">
        <f>T("   290311")</f>
        <v xml:space="preserve">   290311</v>
      </c>
      <c r="B10879" t="str">
        <f>T("   Chlorométhane [chlorure de méthyle] et chloroéthane [chlorure d'éthyle]")</f>
        <v xml:space="preserve">   Chlorométhane [chlorure de méthyle] et chloroéthane [chlorure d'éthyle]</v>
      </c>
      <c r="C10879">
        <v>850000</v>
      </c>
      <c r="D10879">
        <v>7020</v>
      </c>
    </row>
    <row r="10880" spans="1:4" x14ac:dyDescent="0.25">
      <c r="A10880" t="str">
        <f>T("   300339")</f>
        <v xml:space="preserve">   300339</v>
      </c>
      <c r="B10880" t="str">
        <f>T("   Médicaments contenant des hormones ou des stéroïdes utilisés comme hormones, mais ne contenant pas d'antibiotiques, non présentés sous forme de doses, ni conditionnés pour la vente au détail (à l'excl. des médicaments contenant de l'insuline)")</f>
        <v xml:space="preserve">   Médicaments contenant des hormones ou des stéroïdes utilisés comme hormones, mais ne contenant pas d'antibiotiques, non présentés sous forme de doses, ni conditionnés pour la vente au détail (à l'excl. des médicaments contenant de l'insuline)</v>
      </c>
      <c r="C10880">
        <v>3110000</v>
      </c>
      <c r="D10880">
        <v>22413</v>
      </c>
    </row>
    <row r="10881" spans="1:4" x14ac:dyDescent="0.25">
      <c r="A10881" t="str">
        <f>T("   300390")</f>
        <v xml:space="preserve">   300390</v>
      </c>
      <c r="B10881" t="s">
        <v>73</v>
      </c>
      <c r="C10881">
        <v>705000</v>
      </c>
      <c r="D10881">
        <v>5607</v>
      </c>
    </row>
    <row r="10882" spans="1:4" x14ac:dyDescent="0.25">
      <c r="A10882" t="str">
        <f>T("   330119")</f>
        <v xml:space="preserve">   330119</v>
      </c>
      <c r="B10882" t="str">
        <f>T("   HUILES ESSENTIELLES D'AGRUMES, DÉTERPÉNÉES OU NON, Y.C. CELLES DITES 'CONCRÈTES' OU 'ABSOLUES' (À L'EXCL. DES HUILES ESSENTIELLES D'ORANGE, DE CITRONOU DE LIME)")</f>
        <v xml:space="preserve">   HUILES ESSENTIELLES D'AGRUMES, DÉTERPÉNÉES OU NON, Y.C. CELLES DITES 'CONCRÈTES' OU 'ABSOLUES' (À L'EXCL. DES HUILES ESSENTIELLES D'ORANGE, DE CITRONOU DE LIME)</v>
      </c>
      <c r="C10882">
        <v>31465000</v>
      </c>
      <c r="D10882">
        <v>305992</v>
      </c>
    </row>
    <row r="10883" spans="1:4" x14ac:dyDescent="0.25">
      <c r="A10883" t="str">
        <f>T("   330790")</f>
        <v xml:space="preserve">   330790</v>
      </c>
      <c r="B10883" t="str">
        <f>T("   Dépilatoires, autres produits de parfumerie ou de toilette préparés et autres préparations cosmétiques, n.d.a.")</f>
        <v xml:space="preserve">   Dépilatoires, autres produits de parfumerie ou de toilette préparés et autres préparations cosmétiques, n.d.a.</v>
      </c>
      <c r="C10883">
        <v>2500000</v>
      </c>
      <c r="D10883">
        <v>21122</v>
      </c>
    </row>
    <row r="10884" spans="1:4" x14ac:dyDescent="0.25">
      <c r="A10884" t="str">
        <f>T("   340120")</f>
        <v xml:space="preserve">   340120</v>
      </c>
      <c r="B10884" t="str">
        <f>T("   Savons en flocons, en paillettes, en granulés ou en poudres et savons liquides ou pâteux")</f>
        <v xml:space="preserve">   Savons en flocons, en paillettes, en granulés ou en poudres et savons liquides ou pâteux</v>
      </c>
      <c r="C10884">
        <v>2715000</v>
      </c>
      <c r="D10884">
        <v>23241</v>
      </c>
    </row>
    <row r="10885" spans="1:4" x14ac:dyDescent="0.25">
      <c r="A10885" t="str">
        <f>T("   340219")</f>
        <v xml:space="preserve">   340219</v>
      </c>
      <c r="B10885" t="str">
        <f>T("   Agents de surface organiques, même conditionnés pour la vente au détail (à l'excl. des savons et des agents de surface anioniques, cationiques ou non ioniques)")</f>
        <v xml:space="preserve">   Agents de surface organiques, même conditionnés pour la vente au détail (à l'excl. des savons et des agents de surface anioniques, cationiques ou non ioniques)</v>
      </c>
      <c r="C10885">
        <v>892000</v>
      </c>
      <c r="D10885">
        <v>20000</v>
      </c>
    </row>
    <row r="10886" spans="1:4" x14ac:dyDescent="0.25">
      <c r="A10886" t="str">
        <f>T("   360300")</f>
        <v xml:space="preserve">   360300</v>
      </c>
      <c r="B10886" t="str">
        <f>T("   Mèches de sûreté; cordeaux détonants; amorces et capsules fulminantes; allumeurs; détonateurs électriques (à l'excl. des fusées d'obus et des douilles, munies ou non de leurs amorces)")</f>
        <v xml:space="preserve">   Mèches de sûreté; cordeaux détonants; amorces et capsules fulminantes; allumeurs; détonateurs électriques (à l'excl. des fusées d'obus et des douilles, munies ou non de leurs amorces)</v>
      </c>
      <c r="C10886">
        <v>1165000</v>
      </c>
      <c r="D10886">
        <v>5750</v>
      </c>
    </row>
    <row r="10887" spans="1:4" x14ac:dyDescent="0.25">
      <c r="A10887" t="str">
        <f>T("   360500")</f>
        <v xml:space="preserve">   360500</v>
      </c>
      <c r="B10887" t="str">
        <f>T("   Allumettes (autres que les articles de pyrotechnie du n° 3604)")</f>
        <v xml:space="preserve">   Allumettes (autres que les articles de pyrotechnie du n° 3604)</v>
      </c>
      <c r="C10887">
        <v>2620000</v>
      </c>
      <c r="D10887">
        <v>45000</v>
      </c>
    </row>
    <row r="10888" spans="1:4" x14ac:dyDescent="0.25">
      <c r="A10888" t="str">
        <f>T("   380999")</f>
        <v xml:space="preserve">   380999</v>
      </c>
      <c r="B10888" t="s">
        <v>121</v>
      </c>
      <c r="C10888">
        <v>10168000</v>
      </c>
      <c r="D10888">
        <v>326888</v>
      </c>
    </row>
    <row r="10889" spans="1:4" x14ac:dyDescent="0.25">
      <c r="A10889" t="str">
        <f>T("   381190")</f>
        <v xml:space="preserve">   381190</v>
      </c>
      <c r="B10889" t="s">
        <v>123</v>
      </c>
      <c r="C10889">
        <v>3160000</v>
      </c>
      <c r="D10889">
        <v>11750</v>
      </c>
    </row>
    <row r="10890" spans="1:4" x14ac:dyDescent="0.25">
      <c r="A10890" t="str">
        <f>T("   392490")</f>
        <v xml:space="preserve">   392490</v>
      </c>
      <c r="B10890" t="s">
        <v>145</v>
      </c>
      <c r="C10890">
        <v>5836000</v>
      </c>
      <c r="D10890">
        <v>6000</v>
      </c>
    </row>
    <row r="10891" spans="1:4" x14ac:dyDescent="0.25">
      <c r="A10891" t="str">
        <f>T("   400599")</f>
        <v xml:space="preserve">   400599</v>
      </c>
      <c r="B10891" t="s">
        <v>150</v>
      </c>
      <c r="C10891">
        <v>1377500</v>
      </c>
      <c r="D10891">
        <v>26000</v>
      </c>
    </row>
    <row r="10892" spans="1:4" x14ac:dyDescent="0.25">
      <c r="A10892" t="str">
        <f>T("   401110")</f>
        <v xml:space="preserve">   401110</v>
      </c>
      <c r="B10892" t="str">
        <f>T("   Pneumatiques neufs, en caoutchouc, des types utilisés pour les voitures de tourisme, y.c. les voitures du type 'break' et les voitures de course")</f>
        <v xml:space="preserve">   Pneumatiques neufs, en caoutchouc, des types utilisés pour les voitures de tourisme, y.c. les voitures du type 'break' et les voitures de course</v>
      </c>
      <c r="C10892">
        <v>9180000</v>
      </c>
      <c r="D10892">
        <v>47580</v>
      </c>
    </row>
    <row r="10893" spans="1:4" x14ac:dyDescent="0.25">
      <c r="A10893" t="str">
        <f>T("   401199")</f>
        <v xml:space="preserve">   401199</v>
      </c>
      <c r="B10893" t="s">
        <v>155</v>
      </c>
      <c r="C10893">
        <v>7405000</v>
      </c>
      <c r="D10893">
        <v>61109</v>
      </c>
    </row>
    <row r="10894" spans="1:4" x14ac:dyDescent="0.25">
      <c r="A10894" t="str">
        <f>T("   401290")</f>
        <v xml:space="preserve">   401290</v>
      </c>
      <c r="B10894" t="str">
        <f>T("   Bandages pleins ou creux [mi-pleins], bandes de roulement amovibles pour pneumatiques et flaps, en caoutchouc")</f>
        <v xml:space="preserve">   Bandages pleins ou creux [mi-pleins], bandes de roulement amovibles pour pneumatiques et flaps, en caoutchouc</v>
      </c>
      <c r="C10894">
        <v>375000</v>
      </c>
      <c r="D10894">
        <v>1300</v>
      </c>
    </row>
    <row r="10895" spans="1:4" x14ac:dyDescent="0.25">
      <c r="A10895" t="str">
        <f>T("   420212")</f>
        <v xml:space="preserve">   420212</v>
      </c>
      <c r="B10895" t="str">
        <f>T("   Malles, valises et mallettes, y.c. les mallettes de toilette et les mallettes porte-documents, serviettes, cartables et contenants simil., à surface extérieure en matières plastiques ou en matières textiles")</f>
        <v xml:space="preserve">   Malles, valises et mallettes, y.c. les mallettes de toilette et les mallettes porte-documents, serviettes, cartables et contenants simil., à surface extérieure en matières plastiques ou en matières textiles</v>
      </c>
      <c r="C10895">
        <v>7225000</v>
      </c>
      <c r="D10895">
        <v>35970</v>
      </c>
    </row>
    <row r="10896" spans="1:4" x14ac:dyDescent="0.25">
      <c r="A10896" t="str">
        <f>T("   442090")</f>
        <v xml:space="preserve">   442090</v>
      </c>
      <c r="B10896" t="s">
        <v>184</v>
      </c>
      <c r="C10896">
        <v>1800000</v>
      </c>
      <c r="D10896">
        <v>7920</v>
      </c>
    </row>
    <row r="10897" spans="1:4" x14ac:dyDescent="0.25">
      <c r="A10897" t="str">
        <f>T("   480439")</f>
        <v xml:space="preserve">   480439</v>
      </c>
      <c r="B10897" t="s">
        <v>196</v>
      </c>
      <c r="C10897">
        <v>1490000</v>
      </c>
      <c r="D10897">
        <v>15268</v>
      </c>
    </row>
    <row r="10898" spans="1:4" x14ac:dyDescent="0.25">
      <c r="A10898" t="str">
        <f>T("   490400")</f>
        <v xml:space="preserve">   490400</v>
      </c>
      <c r="B10898" t="str">
        <f>T("   Musique manuscrite ou imprimée, illustrée ou non, même reliée")</f>
        <v xml:space="preserve">   Musique manuscrite ou imprimée, illustrée ou non, même reliée</v>
      </c>
      <c r="C10898">
        <v>3680250</v>
      </c>
      <c r="D10898">
        <v>16225</v>
      </c>
    </row>
    <row r="10899" spans="1:4" x14ac:dyDescent="0.25">
      <c r="A10899" t="str">
        <f>T("   520299")</f>
        <v xml:space="preserve">   520299</v>
      </c>
      <c r="B10899" t="str">
        <f>T("   Déchets de coton (à l'excl. des déchets de fils et des effilochés)")</f>
        <v xml:space="preserve">   Déchets de coton (à l'excl. des déchets de fils et des effilochés)</v>
      </c>
      <c r="C10899">
        <v>210000</v>
      </c>
      <c r="D10899">
        <v>5272</v>
      </c>
    </row>
    <row r="10900" spans="1:4" x14ac:dyDescent="0.25">
      <c r="A10900" t="str">
        <f>T("   520829")</f>
        <v xml:space="preserve">   520829</v>
      </c>
      <c r="B10900" t="str">
        <f>T("   Tissus de coton, blanchis, contenant &gt;= 85% en poids de coton, d'un poids &lt;= 200 g/m² (à l'excl. des tissus à armure toile ou à armure sergé [y.c. le croisé] d'un rapport d'armure &lt;= 4)")</f>
        <v xml:space="preserve">   Tissus de coton, blanchis, contenant &gt;= 85% en poids de coton, d'un poids &lt;= 200 g/m² (à l'excl. des tissus à armure toile ou à armure sergé [y.c. le croisé] d'un rapport d'armure &lt;= 4)</v>
      </c>
      <c r="C10900">
        <v>780000</v>
      </c>
      <c r="D10900">
        <v>17500</v>
      </c>
    </row>
    <row r="10901" spans="1:4" x14ac:dyDescent="0.25">
      <c r="A10901" t="str">
        <f>T("   540120")</f>
        <v xml:space="preserve">   540120</v>
      </c>
      <c r="B10901" t="str">
        <f>T("   Fils à coudre de filaments artificiels, même conditionnés pour la vente au détail")</f>
        <v xml:space="preserve">   Fils à coudre de filaments artificiels, même conditionnés pour la vente au détail</v>
      </c>
      <c r="C10901">
        <v>528550</v>
      </c>
      <c r="D10901">
        <v>500</v>
      </c>
    </row>
    <row r="10902" spans="1:4" x14ac:dyDescent="0.25">
      <c r="A10902" t="str">
        <f>T("   551130")</f>
        <v xml:space="preserve">   551130</v>
      </c>
      <c r="B10902" t="str">
        <f>T("   Fils de fibres artificielles discontinues, conditionnés pour la vente au détail (à l'excl. des fils à coudre)")</f>
        <v xml:space="preserve">   Fils de fibres artificielles discontinues, conditionnés pour la vente au détail (à l'excl. des fils à coudre)</v>
      </c>
      <c r="C10902">
        <v>574000</v>
      </c>
      <c r="D10902">
        <v>1000</v>
      </c>
    </row>
    <row r="10903" spans="1:4" x14ac:dyDescent="0.25">
      <c r="A10903" t="str">
        <f>T("   570299")</f>
        <v xml:space="preserve">   570299</v>
      </c>
      <c r="B10903" t="s">
        <v>248</v>
      </c>
      <c r="C10903">
        <v>6416000</v>
      </c>
      <c r="D10903">
        <v>20930</v>
      </c>
    </row>
    <row r="10904" spans="1:4" x14ac:dyDescent="0.25">
      <c r="A10904" t="str">
        <f>T("   590410")</f>
        <v xml:space="preserve">   590410</v>
      </c>
      <c r="B10904" t="str">
        <f>T("   Linoléums, même découpés")</f>
        <v xml:space="preserve">   Linoléums, même découpés</v>
      </c>
      <c r="C10904">
        <v>1300000</v>
      </c>
      <c r="D10904">
        <v>10494</v>
      </c>
    </row>
    <row r="10905" spans="1:4" x14ac:dyDescent="0.25">
      <c r="A10905" t="str">
        <f>T("   610412")</f>
        <v xml:space="preserve">   610412</v>
      </c>
      <c r="B10905" t="str">
        <f>T("   Costumes tailleurs en bonneterie, de coton, pour femmes ou fillettes (sauf combinaisons de ski et maillots, culottes et slips de bain)")</f>
        <v xml:space="preserve">   Costumes tailleurs en bonneterie, de coton, pour femmes ou fillettes (sauf combinaisons de ski et maillots, culottes et slips de bain)</v>
      </c>
      <c r="C10905">
        <v>789000</v>
      </c>
      <c r="D10905">
        <v>4418</v>
      </c>
    </row>
    <row r="10906" spans="1:4" x14ac:dyDescent="0.25">
      <c r="A10906" t="str">
        <f>T("   610990")</f>
        <v xml:space="preserve">   610990</v>
      </c>
      <c r="B10906" t="str">
        <f>T("   T-shirts et maillots de corps, en bonneterie, de matières textiles (sauf de coton)")</f>
        <v xml:space="preserve">   T-shirts et maillots de corps, en bonneterie, de matières textiles (sauf de coton)</v>
      </c>
      <c r="C10906">
        <v>15521000</v>
      </c>
      <c r="D10906">
        <v>172072</v>
      </c>
    </row>
    <row r="10907" spans="1:4" x14ac:dyDescent="0.25">
      <c r="A10907" t="str">
        <f>T("   621030")</f>
        <v xml:space="preserve">   621030</v>
      </c>
      <c r="B10907" t="str">
        <f>T("   Vêtements des types du n° 6202.11 à 6202.19 [manteaux, cabans, capes et articles simil.], caoutchoutés ou imprégnés, enduits ou recouverts de matière plastique ou d'autres substances")</f>
        <v xml:space="preserve">   Vêtements des types du n° 6202.11 à 6202.19 [manteaux, cabans, capes et articles simil.], caoutchoutés ou imprégnés, enduits ou recouverts de matière plastique ou d'autres substances</v>
      </c>
      <c r="C10907">
        <v>1816000</v>
      </c>
      <c r="D10907">
        <v>19000</v>
      </c>
    </row>
    <row r="10908" spans="1:4" x14ac:dyDescent="0.25">
      <c r="A10908" t="str">
        <f>T("   630590")</f>
        <v xml:space="preserve">   630590</v>
      </c>
      <c r="B10908" t="str">
        <f>T("   Sacs et sachets d'emballage de matières textiles (autres qu'en matières textiles synthétiques ou artificielles, coton, jute ou autres fibres textiles libérienne du n° 5303)")</f>
        <v xml:space="preserve">   Sacs et sachets d'emballage de matières textiles (autres qu'en matières textiles synthétiques ou artificielles, coton, jute ou autres fibres textiles libérienne du n° 5303)</v>
      </c>
      <c r="C10908">
        <v>2916000</v>
      </c>
      <c r="D10908">
        <v>3000</v>
      </c>
    </row>
    <row r="10909" spans="1:4" x14ac:dyDescent="0.25">
      <c r="A10909" t="str">
        <f>T("   631090")</f>
        <v xml:space="preserve">   631090</v>
      </c>
      <c r="B10909" t="str">
        <f>T("   Chiffons en tous types de matières textiles ainsi que ficelles, cordes et cordages et articles composés de ceux-ci, de matières textiles, sous forme de déchets ou d'articles hors d'usage, non triés")</f>
        <v xml:space="preserve">   Chiffons en tous types de matières textiles ainsi que ficelles, cordes et cordages et articles composés de ceux-ci, de matières textiles, sous forme de déchets ou d'articles hors d'usage, non triés</v>
      </c>
      <c r="C10909">
        <v>1525000</v>
      </c>
      <c r="D10909">
        <v>13500</v>
      </c>
    </row>
    <row r="10910" spans="1:4" x14ac:dyDescent="0.25">
      <c r="A10910" t="str">
        <f>T("   670420")</f>
        <v xml:space="preserve">   670420</v>
      </c>
      <c r="B10910" t="str">
        <f>T("   Perruques, barbes, sourcils, cils, mèches et articles simil., en cheveux; ouvrages en cheveux n.d.a.")</f>
        <v xml:space="preserve">   Perruques, barbes, sourcils, cils, mèches et articles simil., en cheveux; ouvrages en cheveux n.d.a.</v>
      </c>
      <c r="C10910">
        <v>781000</v>
      </c>
      <c r="D10910">
        <v>6984</v>
      </c>
    </row>
    <row r="10911" spans="1:4" x14ac:dyDescent="0.25">
      <c r="A10911" t="str">
        <f>T("   680919")</f>
        <v xml:space="preserve">   680919</v>
      </c>
      <c r="B10911" t="s">
        <v>301</v>
      </c>
      <c r="C10911">
        <v>3255000</v>
      </c>
      <c r="D10911">
        <v>164640</v>
      </c>
    </row>
    <row r="10912" spans="1:4" x14ac:dyDescent="0.25">
      <c r="A10912" t="str">
        <f>T("   681011")</f>
        <v xml:space="preserve">   681011</v>
      </c>
      <c r="B10912" t="str">
        <f>T("   Blocs et briques pour la construction, en ciment, en béton ou en pierre artificielle, même armés")</f>
        <v xml:space="preserve">   Blocs et briques pour la construction, en ciment, en béton ou en pierre artificielle, même armés</v>
      </c>
      <c r="C10912">
        <v>8726000</v>
      </c>
      <c r="D10912">
        <v>223687</v>
      </c>
    </row>
    <row r="10913" spans="1:4" x14ac:dyDescent="0.25">
      <c r="A10913" t="str">
        <f>T("   681210")</f>
        <v xml:space="preserve">   681210</v>
      </c>
      <c r="B10913" t="str">
        <f>T("   AMIANTE TRAVAILLÉ, EN FIBRES; MÉLANGES A BASE D'AMIANTE OU A BASE D'AMIANTE ET DE CARBONATE DE MAGNESIUM")</f>
        <v xml:space="preserve">   AMIANTE TRAVAILLÉ, EN FIBRES; MÉLANGES A BASE D'AMIANTE OU A BASE D'AMIANTE ET DE CARBONATE DE MAGNESIUM</v>
      </c>
      <c r="C10913">
        <v>5012000</v>
      </c>
      <c r="D10913">
        <v>81900</v>
      </c>
    </row>
    <row r="10914" spans="1:4" x14ac:dyDescent="0.25">
      <c r="A10914" t="str">
        <f>T("   681220")</f>
        <v xml:space="preserve">   681220</v>
      </c>
      <c r="B10914" t="str">
        <f>T("   FILS EN AMIANTE OU EN MÉLANGES A BASE D'AMIANTE OU A BASE D'AMIANTE ET DE CARBONATE DE MAGNESIUM")</f>
        <v xml:space="preserve">   FILS EN AMIANTE OU EN MÉLANGES A BASE D'AMIANTE OU A BASE D'AMIANTE ET DE CARBONATE DE MAGNESIUM</v>
      </c>
      <c r="C10914">
        <v>10635000</v>
      </c>
      <c r="D10914">
        <v>174500</v>
      </c>
    </row>
    <row r="10915" spans="1:4" x14ac:dyDescent="0.25">
      <c r="A10915" t="str">
        <f>T("   691010")</f>
        <v xml:space="preserve">   691010</v>
      </c>
      <c r="B10915" t="s">
        <v>312</v>
      </c>
      <c r="C10915">
        <v>457639</v>
      </c>
      <c r="D10915">
        <v>12000</v>
      </c>
    </row>
    <row r="10916" spans="1:4" x14ac:dyDescent="0.25">
      <c r="A10916" t="str">
        <f>T("   700239")</f>
        <v xml:space="preserve">   700239</v>
      </c>
      <c r="B10916" t="str">
        <f>T("   Tubes en verre non travaillé (sauf à coefficient de dilatation linéaire &lt;= 5 x 10-6, par kelvin entre 0°C et 300°C et sauf en quartz fondu ou en un autre silice fondu)")</f>
        <v xml:space="preserve">   Tubes en verre non travaillé (sauf à coefficient de dilatation linéaire &lt;= 5 x 10-6, par kelvin entre 0°C et 300°C et sauf en quartz fondu ou en un autre silice fondu)</v>
      </c>
      <c r="C10916">
        <v>507000</v>
      </c>
      <c r="D10916">
        <v>8865</v>
      </c>
    </row>
    <row r="10917" spans="1:4" x14ac:dyDescent="0.25">
      <c r="A10917" t="str">
        <f>T("   700910")</f>
        <v xml:space="preserve">   700910</v>
      </c>
      <c r="B10917" t="str">
        <f>T("   Miroirs rétroviseurs en verre, même encadrés, pour véhicules")</f>
        <v xml:space="preserve">   Miroirs rétroviseurs en verre, même encadrés, pour véhicules</v>
      </c>
      <c r="C10917">
        <v>3946000</v>
      </c>
      <c r="D10917">
        <v>75600</v>
      </c>
    </row>
    <row r="10918" spans="1:4" x14ac:dyDescent="0.25">
      <c r="A10918" t="str">
        <f>T("   722880")</f>
        <v xml:space="preserve">   722880</v>
      </c>
      <c r="B10918" t="str">
        <f>T("   Barres creuses pour le forage, en aciers alliés ou non alliés")</f>
        <v xml:space="preserve">   Barres creuses pour le forage, en aciers alliés ou non alliés</v>
      </c>
      <c r="C10918">
        <v>27065000</v>
      </c>
      <c r="D10918">
        <v>226914</v>
      </c>
    </row>
    <row r="10919" spans="1:4" x14ac:dyDescent="0.25">
      <c r="A10919" t="str">
        <f>T("   730210")</f>
        <v xml:space="preserve">   730210</v>
      </c>
      <c r="B10919" t="str">
        <f>T("   Rails en fonte, fer ou acier pour voies ferrées ( à l'excl. des contre-rails)")</f>
        <v xml:space="preserve">   Rails en fonte, fer ou acier pour voies ferrées ( à l'excl. des contre-rails)</v>
      </c>
      <c r="C10919">
        <v>896000</v>
      </c>
      <c r="D10919">
        <v>4000</v>
      </c>
    </row>
    <row r="10920" spans="1:4" x14ac:dyDescent="0.25">
      <c r="A10920" t="str">
        <f>T("   730300")</f>
        <v xml:space="preserve">   730300</v>
      </c>
      <c r="B10920" t="str">
        <f>T("   Tubes, tuyaux et profilés creux, en fonte")</f>
        <v xml:space="preserve">   Tubes, tuyaux et profilés creux, en fonte</v>
      </c>
      <c r="C10920">
        <v>640000</v>
      </c>
      <c r="D10920">
        <v>9500</v>
      </c>
    </row>
    <row r="10921" spans="1:4" x14ac:dyDescent="0.25">
      <c r="A10921" t="str">
        <f>T("   780600")</f>
        <v xml:space="preserve">   780600</v>
      </c>
      <c r="B10921" t="str">
        <f>T("   Ouvrages en plomb, n.d.a.")</f>
        <v xml:space="preserve">   Ouvrages en plomb, n.d.a.</v>
      </c>
      <c r="C10921">
        <v>2015000</v>
      </c>
      <c r="D10921">
        <v>24000</v>
      </c>
    </row>
    <row r="10922" spans="1:4" x14ac:dyDescent="0.25">
      <c r="A10922" t="str">
        <f>T("   820540")</f>
        <v xml:space="preserve">   820540</v>
      </c>
      <c r="B10922" t="str">
        <f>T("   Tournevis à main")</f>
        <v xml:space="preserve">   Tournevis à main</v>
      </c>
      <c r="C10922">
        <v>175000</v>
      </c>
      <c r="D10922">
        <v>45000</v>
      </c>
    </row>
    <row r="10923" spans="1:4" x14ac:dyDescent="0.25">
      <c r="A10923" t="str">
        <f>T("   830300")</f>
        <v xml:space="preserve">   830300</v>
      </c>
      <c r="B10923" t="str">
        <f>T("   Coffres-forts, portes blindées et compartiments pour chambres fortes, coffres et cassettes de sûreté et articles simil., en métaux communs")</f>
        <v xml:space="preserve">   Coffres-forts, portes blindées et compartiments pour chambres fortes, coffres et cassettes de sûreté et articles simil., en métaux communs</v>
      </c>
      <c r="C10923">
        <v>2270000</v>
      </c>
      <c r="D10923">
        <v>10406</v>
      </c>
    </row>
    <row r="10924" spans="1:4" x14ac:dyDescent="0.25">
      <c r="A10924" t="str">
        <f>T("   841899")</f>
        <v xml:space="preserve">   841899</v>
      </c>
      <c r="B10924" t="str">
        <f>T("   Parties de réfrigérateurs et de congélateurs-conservateurs du type armoire et du type coffre et d'autres matériel, machines et appareils pour la production du froid, parties de pompes à chaleur, n.d.a.")</f>
        <v xml:space="preserve">   Parties de réfrigérateurs et de congélateurs-conservateurs du type armoire et du type coffre et d'autres matériel, machines et appareils pour la production du froid, parties de pompes à chaleur, n.d.a.</v>
      </c>
      <c r="C10924">
        <v>2309000</v>
      </c>
      <c r="D10924">
        <v>5260</v>
      </c>
    </row>
    <row r="10925" spans="1:4" x14ac:dyDescent="0.25">
      <c r="A10925" t="str">
        <f>T("   843069")</f>
        <v xml:space="preserve">   843069</v>
      </c>
      <c r="B10925" t="str">
        <f>T("   Machines et appareils de terrassement, nivellement, décapage, excavation, compactage, extraction ou forage de la terre, des minéraux ou des minerais, non autopropulsés, n.d.a.")</f>
        <v xml:space="preserve">   Machines et appareils de terrassement, nivellement, décapage, excavation, compactage, extraction ou forage de la terre, des minéraux ou des minerais, non autopropulsés, n.d.a.</v>
      </c>
      <c r="C10925">
        <v>1310000</v>
      </c>
      <c r="D10925">
        <v>17820</v>
      </c>
    </row>
    <row r="10926" spans="1:4" x14ac:dyDescent="0.25">
      <c r="A10926" t="str">
        <f>T("   843229")</f>
        <v xml:space="preserve">   843229</v>
      </c>
      <c r="B10926" t="str">
        <f>T("   Herses, scarificateurs, cultivateurs, extirpateurs, houes, sarcleuses et bineuses pour l'agriculture, la sylviculture ou l'horticulture (à l'excl. des herses à disques)")</f>
        <v xml:space="preserve">   Herses, scarificateurs, cultivateurs, extirpateurs, houes, sarcleuses et bineuses pour l'agriculture, la sylviculture ou l'horticulture (à l'excl. des herses à disques)</v>
      </c>
      <c r="C10926">
        <v>1170000</v>
      </c>
      <c r="D10926">
        <v>6846</v>
      </c>
    </row>
    <row r="10927" spans="1:4" x14ac:dyDescent="0.25">
      <c r="A10927" t="str">
        <f>T("   850790")</f>
        <v xml:space="preserve">   850790</v>
      </c>
      <c r="B10927" t="str">
        <f>T("   Plaques, séparateurs et autres parties d'accumulateurs électriques n.d.a.")</f>
        <v xml:space="preserve">   Plaques, séparateurs et autres parties d'accumulateurs électriques n.d.a.</v>
      </c>
      <c r="C10927">
        <v>5240000</v>
      </c>
      <c r="D10927">
        <v>27720</v>
      </c>
    </row>
    <row r="10928" spans="1:4" x14ac:dyDescent="0.25">
      <c r="A10928" t="str">
        <f>T("   851390")</f>
        <v xml:space="preserve">   851390</v>
      </c>
      <c r="B10928" t="str">
        <f>T("   Parties de lampes électriques portatives, destinées à fonctionner au moyen de leur propre source d'énergie, n.d.a.")</f>
        <v xml:space="preserve">   Parties de lampes électriques portatives, destinées à fonctionner au moyen de leur propre source d'énergie, n.d.a.</v>
      </c>
      <c r="C10928">
        <v>1130000</v>
      </c>
      <c r="D10928">
        <v>10242</v>
      </c>
    </row>
    <row r="10929" spans="1:4" x14ac:dyDescent="0.25">
      <c r="A10929" t="str">
        <f>T("   851519")</f>
        <v xml:space="preserve">   851519</v>
      </c>
      <c r="B10929" t="str">
        <f>T("   Machines et appareils électriques pour le brasage fort ou tendre (sauf fers et pistolets à braser)")</f>
        <v xml:space="preserve">   Machines et appareils électriques pour le brasage fort ou tendre (sauf fers et pistolets à braser)</v>
      </c>
      <c r="C10929">
        <v>1115000</v>
      </c>
      <c r="D10929">
        <v>19032</v>
      </c>
    </row>
    <row r="10930" spans="1:4" x14ac:dyDescent="0.25">
      <c r="A10930" t="str">
        <f>T("   851529")</f>
        <v xml:space="preserve">   851529</v>
      </c>
      <c r="B10930" t="str">
        <f>T("   MACHINES ET APPAREILS POUR LE SOUDAGE DES MÉTAUX PAR RÉSISTANCE, NON-AUTOMATIQUES")</f>
        <v xml:space="preserve">   MACHINES ET APPAREILS POUR LE SOUDAGE DES MÉTAUX PAR RÉSISTANCE, NON-AUTOMATIQUES</v>
      </c>
      <c r="C10930">
        <v>5430000</v>
      </c>
      <c r="D10930">
        <v>16566</v>
      </c>
    </row>
    <row r="10931" spans="1:4" x14ac:dyDescent="0.25">
      <c r="A10931" t="str">
        <f>T("   851629")</f>
        <v xml:space="preserve">   851629</v>
      </c>
      <c r="B10931" t="str">
        <f>T("   Appareils électriques pour le chauffage des locaux, du sol ou pour usages simil. (sauf radiateurs à accumulation)")</f>
        <v xml:space="preserve">   Appareils électriques pour le chauffage des locaux, du sol ou pour usages simil. (sauf radiateurs à accumulation)</v>
      </c>
      <c r="C10931">
        <v>2500000</v>
      </c>
      <c r="D10931">
        <v>15757</v>
      </c>
    </row>
    <row r="10932" spans="1:4" x14ac:dyDescent="0.25">
      <c r="A10932" t="str">
        <f>T("   870322")</f>
        <v xml:space="preserve">   870322</v>
      </c>
      <c r="B10932" t="s">
        <v>475</v>
      </c>
      <c r="C10932">
        <v>1011566500</v>
      </c>
      <c r="D10932">
        <v>4722979</v>
      </c>
    </row>
    <row r="10933" spans="1:4" x14ac:dyDescent="0.25">
      <c r="A10933" t="str">
        <f>T("   871110")</f>
        <v xml:space="preserve">   871110</v>
      </c>
      <c r="B10933" t="str">
        <f>T("   Cyclomoteurs, à moteur à piston alternatif, cylindrée &lt;= 50 cm³, y.c. cycles à moteur auxiliaire")</f>
        <v xml:space="preserve">   Cyclomoteurs, à moteur à piston alternatif, cylindrée &lt;= 50 cm³, y.c. cycles à moteur auxiliaire</v>
      </c>
      <c r="C10933">
        <v>1050000</v>
      </c>
      <c r="D10933">
        <v>7880</v>
      </c>
    </row>
    <row r="10934" spans="1:4" x14ac:dyDescent="0.25">
      <c r="A10934" t="str">
        <f>T("   871390")</f>
        <v xml:space="preserve">   871390</v>
      </c>
      <c r="B10934" t="str">
        <f>T("   Fauteuils roulants et autres véhicules pour invalides, avec mécanisme de propulsion (sauf automobiles et bicyclettes munies de dispositifs spéciaux)")</f>
        <v xml:space="preserve">   Fauteuils roulants et autres véhicules pour invalides, avec mécanisme de propulsion (sauf automobiles et bicyclettes munies de dispositifs spéciaux)</v>
      </c>
      <c r="C10934">
        <v>1230000</v>
      </c>
      <c r="D10934">
        <v>5461</v>
      </c>
    </row>
    <row r="10935" spans="1:4" x14ac:dyDescent="0.25">
      <c r="A10935" t="str">
        <f>T("   903190")</f>
        <v xml:space="preserve">   903190</v>
      </c>
      <c r="B10935" t="str">
        <f>T("   Parties et accessoires des instruments, appareils et machines de mesure ou de contrôle, n.d.a.")</f>
        <v xml:space="preserve">   Parties et accessoires des instruments, appareils et machines de mesure ou de contrôle, n.d.a.</v>
      </c>
      <c r="C10935">
        <v>715000</v>
      </c>
      <c r="D10935">
        <v>20000</v>
      </c>
    </row>
    <row r="10936" spans="1:4" x14ac:dyDescent="0.25">
      <c r="A10936" t="str">
        <f>T("   960390")</f>
        <v xml:space="preserve">   960390</v>
      </c>
      <c r="B10936" t="str">
        <f>T("   ARTICLES DE BROSSERIE (SAUF DU N° 9603.10 À 9603.50), P.EX. TÊTES PRÉPARÉES POUR ARTICLES DE BROSSERIE ET RACLETTES EN CAOUTCHOUC OU EN MATIÈRES SOUPLES ANALOGUES")</f>
        <v xml:space="preserve">   ARTICLES DE BROSSERIE (SAUF DU N° 9603.10 À 9603.50), P.EX. TÊTES PRÉPARÉES POUR ARTICLES DE BROSSERIE ET RACLETTES EN CAOUTCHOUC OU EN MATIÈRES SOUPLES ANALOGUES</v>
      </c>
      <c r="C10936">
        <v>2530000</v>
      </c>
      <c r="D10936">
        <v>55943</v>
      </c>
    </row>
    <row r="10937" spans="1:4" x14ac:dyDescent="0.25">
      <c r="A10937" t="str">
        <f>T("ZA")</f>
        <v>ZA</v>
      </c>
      <c r="B10937" t="str">
        <f>T("Afrique du Sud")</f>
        <v>Afrique du Sud</v>
      </c>
    </row>
    <row r="10938" spans="1:4" x14ac:dyDescent="0.25">
      <c r="A10938" t="str">
        <f>T("   ZZ_Total_Produit_SH6")</f>
        <v xml:space="preserve">   ZZ_Total_Produit_SH6</v>
      </c>
      <c r="B10938" t="str">
        <f>T("   ZZ_Total_Produit_SH6")</f>
        <v xml:space="preserve">   ZZ_Total_Produit_SH6</v>
      </c>
      <c r="C10938">
        <v>13252679491</v>
      </c>
      <c r="D10938">
        <v>33750113.5</v>
      </c>
    </row>
    <row r="10939" spans="1:4" x14ac:dyDescent="0.25">
      <c r="A10939" t="str">
        <f>T("   030374")</f>
        <v xml:space="preserve">   030374</v>
      </c>
      <c r="B10939" t="str">
        <f>T("   Maquereaux [Scomber scombrus, Scomber australasicus, Scomber japonicus], congelés")</f>
        <v xml:space="preserve">   Maquereaux [Scomber scombrus, Scomber australasicus, Scomber japonicus], congelés</v>
      </c>
      <c r="C10939">
        <v>88201037</v>
      </c>
      <c r="D10939">
        <v>392000</v>
      </c>
    </row>
    <row r="10940" spans="1:4" x14ac:dyDescent="0.25">
      <c r="A10940" t="str">
        <f>T("   030379")</f>
        <v xml:space="preserve">   030379</v>
      </c>
      <c r="B10940" t="s">
        <v>15</v>
      </c>
      <c r="C10940">
        <v>239332500</v>
      </c>
      <c r="D10940">
        <v>1063700</v>
      </c>
    </row>
    <row r="10941" spans="1:4" x14ac:dyDescent="0.25">
      <c r="A10941" t="str">
        <f>T("   070190")</f>
        <v xml:space="preserve">   070190</v>
      </c>
      <c r="B10941" t="str">
        <f>T("   Pommes de terre, à l'état frais ou réfrigéré (à l'excl. des pommes de terre de semence)")</f>
        <v xml:space="preserve">   Pommes de terre, à l'état frais ou réfrigéré (à l'excl. des pommes de terre de semence)</v>
      </c>
      <c r="C10941">
        <v>5767856</v>
      </c>
      <c r="D10941">
        <v>29000</v>
      </c>
    </row>
    <row r="10942" spans="1:4" x14ac:dyDescent="0.25">
      <c r="A10942" t="str">
        <f>T("   080450")</f>
        <v xml:space="preserve">   080450</v>
      </c>
      <c r="B10942" t="str">
        <f>T("   Goyaves, mangues et mangoustans, frais ou secs")</f>
        <v xml:space="preserve">   Goyaves, mangues et mangoustans, frais ou secs</v>
      </c>
      <c r="C10942">
        <v>1542818</v>
      </c>
      <c r="D10942">
        <v>2080</v>
      </c>
    </row>
    <row r="10943" spans="1:4" x14ac:dyDescent="0.25">
      <c r="A10943" t="str">
        <f>T("   080510")</f>
        <v xml:space="preserve">   080510</v>
      </c>
      <c r="B10943" t="str">
        <f>T("   Oranges, fraîches ou sèches")</f>
        <v xml:space="preserve">   Oranges, fraîches ou sèches</v>
      </c>
      <c r="C10943">
        <v>2801050</v>
      </c>
      <c r="D10943">
        <v>12390</v>
      </c>
    </row>
    <row r="10944" spans="1:4" x14ac:dyDescent="0.25">
      <c r="A10944" t="str">
        <f>T("   080520")</f>
        <v xml:space="preserve">   080520</v>
      </c>
      <c r="B10944" t="str">
        <f>T("   Mandarines, y.c. les tangerines et les satsumas; clémentines, wilkings et hybrides simil. d'agrumes, frais ou secs")</f>
        <v xml:space="preserve">   Mandarines, y.c. les tangerines et les satsumas; clémentines, wilkings et hybrides simil. d'agrumes, frais ou secs</v>
      </c>
      <c r="C10944">
        <v>6402827</v>
      </c>
      <c r="D10944">
        <v>16110</v>
      </c>
    </row>
    <row r="10945" spans="1:4" x14ac:dyDescent="0.25">
      <c r="A10945" t="str">
        <f>T("   080550")</f>
        <v xml:space="preserve">   080550</v>
      </c>
      <c r="B10945" t="s">
        <v>21</v>
      </c>
      <c r="C10945">
        <v>682198</v>
      </c>
      <c r="D10945">
        <v>3016</v>
      </c>
    </row>
    <row r="10946" spans="1:4" x14ac:dyDescent="0.25">
      <c r="A10946" t="str">
        <f>T("   080610")</f>
        <v xml:space="preserve">   080610</v>
      </c>
      <c r="B10946" t="str">
        <f>T("   Raisins, frais")</f>
        <v xml:space="preserve">   Raisins, frais</v>
      </c>
      <c r="C10946">
        <v>277283180</v>
      </c>
      <c r="D10946">
        <v>388324</v>
      </c>
    </row>
    <row r="10947" spans="1:4" x14ac:dyDescent="0.25">
      <c r="A10947" t="str">
        <f>T("   080810")</f>
        <v xml:space="preserve">   080810</v>
      </c>
      <c r="B10947" t="str">
        <f>T("   Pommes, fraîches")</f>
        <v xml:space="preserve">   Pommes, fraîches</v>
      </c>
      <c r="C10947">
        <v>8339617732</v>
      </c>
      <c r="D10947">
        <v>22113349</v>
      </c>
    </row>
    <row r="10948" spans="1:4" x14ac:dyDescent="0.25">
      <c r="A10948" t="str">
        <f>T("   080820")</f>
        <v xml:space="preserve">   080820</v>
      </c>
      <c r="B10948" t="str">
        <f>T("   Poires et coings, frais")</f>
        <v xml:space="preserve">   Poires et coings, frais</v>
      </c>
      <c r="C10948">
        <v>191842206</v>
      </c>
      <c r="D10948">
        <v>574086</v>
      </c>
    </row>
    <row r="10949" spans="1:4" x14ac:dyDescent="0.25">
      <c r="A10949" t="str">
        <f>T("   080930")</f>
        <v xml:space="preserve">   080930</v>
      </c>
      <c r="B10949" t="str">
        <f>T("   Pêches, y.c. les brugnons et nectarines, fraîches")</f>
        <v xml:space="preserve">   Pêches, y.c. les brugnons et nectarines, fraîches</v>
      </c>
      <c r="C10949">
        <v>2013142</v>
      </c>
      <c r="D10949">
        <v>11308</v>
      </c>
    </row>
    <row r="10950" spans="1:4" x14ac:dyDescent="0.25">
      <c r="A10950" t="str">
        <f>T("   080940")</f>
        <v xml:space="preserve">   080940</v>
      </c>
      <c r="B10950" t="str">
        <f>T("   Prunes et prunelles, fraîches")</f>
        <v xml:space="preserve">   Prunes et prunelles, fraîches</v>
      </c>
      <c r="C10950">
        <v>30146071</v>
      </c>
      <c r="D10950">
        <v>40588</v>
      </c>
    </row>
    <row r="10951" spans="1:4" x14ac:dyDescent="0.25">
      <c r="A10951" t="str">
        <f>T("   152000")</f>
        <v xml:space="preserve">   152000</v>
      </c>
      <c r="B10951" t="str">
        <f>T("   Glycérol brut; eaux et lessives glycérineuses")</f>
        <v xml:space="preserve">   Glycérol brut; eaux et lessives glycérineuses</v>
      </c>
      <c r="C10951">
        <v>335196</v>
      </c>
      <c r="D10951">
        <v>436</v>
      </c>
    </row>
    <row r="10952" spans="1:4" x14ac:dyDescent="0.25">
      <c r="A10952" t="str">
        <f>T("   170199")</f>
        <v xml:space="preserve">   170199</v>
      </c>
      <c r="B10952" t="str">
        <f>T("   Sucres de canne ou de betterave et saccharose chimiquement pur, à l'état solide (à l'excl. des sucres bruts et des sucres de canne ou de betterave additionnés d'aromatisants ou de colorants)")</f>
        <v xml:space="preserve">   Sucres de canne ou de betterave et saccharose chimiquement pur, à l'état solide (à l'excl. des sucres bruts et des sucres de canne ou de betterave additionnés d'aromatisants ou de colorants)</v>
      </c>
      <c r="C10952">
        <v>195285194</v>
      </c>
      <c r="D10952">
        <v>401280</v>
      </c>
    </row>
    <row r="10953" spans="1:4" x14ac:dyDescent="0.25">
      <c r="A10953" t="str">
        <f>T("   190490")</f>
        <v xml:space="preserve">   190490</v>
      </c>
      <c r="B10953" t="s">
        <v>49</v>
      </c>
      <c r="C10953">
        <v>16683721</v>
      </c>
      <c r="D10953">
        <v>11000</v>
      </c>
    </row>
    <row r="10954" spans="1:4" x14ac:dyDescent="0.25">
      <c r="A10954" t="str">
        <f>T("   200190")</f>
        <v xml:space="preserve">   200190</v>
      </c>
      <c r="B10954" t="str">
        <f>T("   Légumes, fruits et autres parties comestibles de plantes, préparés ou conservés au vinaigre ou à l'acide acétique (à l'excl. des concombres et des cornichons)")</f>
        <v xml:space="preserve">   Légumes, fruits et autres parties comestibles de plantes, préparés ou conservés au vinaigre ou à l'acide acétique (à l'excl. des concombres et des cornichons)</v>
      </c>
      <c r="C10954">
        <v>4742000</v>
      </c>
      <c r="D10954">
        <v>20629</v>
      </c>
    </row>
    <row r="10955" spans="1:4" x14ac:dyDescent="0.25">
      <c r="A10955" t="str">
        <f>T("   200929")</f>
        <v xml:space="preserve">   200929</v>
      </c>
      <c r="B10955" t="str">
        <f>T("   JUS DE PAMPLEMOUSSE OU DE POMELO, NON-FERMENTÉS, SANS ADDITION D'ALCOOL, AVEC OU SANS ADDITION DE SUCRE OU D'AUTRES ÉDULCORANTS, D'UNE VALEUR BRIX &gt; 20 À 20°C")</f>
        <v xml:space="preserve">   JUS DE PAMPLEMOUSSE OU DE POMELO, NON-FERMENTÉS, SANS ADDITION D'ALCOOL, AVEC OU SANS ADDITION DE SUCRE OU D'AUTRES ÉDULCORANTS, D'UNE VALEUR BRIX &gt; 20 À 20°C</v>
      </c>
      <c r="C10955">
        <v>5402627</v>
      </c>
      <c r="D10955">
        <v>19455</v>
      </c>
    </row>
    <row r="10956" spans="1:4" x14ac:dyDescent="0.25">
      <c r="A10956" t="str">
        <f>T("   200979")</f>
        <v xml:space="preserve">   200979</v>
      </c>
      <c r="B10956" t="str">
        <f>T("   JUS DE POMME, NON-FERMENTÉS, SANS ADDITION D'ALCOOL, AVEC OU SANS ADDITION DE SUCRE OU D'AUTRES ÉDULCORANTS, D'UNE VALEUR BRIX &gt; 20 À 20°C")</f>
        <v xml:space="preserve">   JUS DE POMME, NON-FERMENTÉS, SANS ADDITION D'ALCOOL, AVEC OU SANS ADDITION DE SUCRE OU D'AUTRES ÉDULCORANTS, D'UNE VALEUR BRIX &gt; 20 À 20°C</v>
      </c>
      <c r="C10956">
        <v>9799395</v>
      </c>
      <c r="D10956">
        <v>18512</v>
      </c>
    </row>
    <row r="10957" spans="1:4" x14ac:dyDescent="0.25">
      <c r="A10957" t="str">
        <f>T("   200980")</f>
        <v xml:space="preserve">   200980</v>
      </c>
      <c r="B10957" t="str">
        <f>T("   JUS DE FRUITS OU DE LÉGUMES, NON-FERMENTÉS, SANS ADDITION D'ALCOOL, AVEC OU SANS ADDITION DE SUCRE OU D'AUTRES ÉDULCORANTS (À L'EXCL. DES MÉLANGES AINSI QUE DES JUS D'AGRUMES, D'ANANAS, DE TOMATE, DE RAISIN - Y.C. LES MOÛTS - ET DE POMME)")</f>
        <v xml:space="preserve">   JUS DE FRUITS OU DE LÉGUMES, NON-FERMENTÉS, SANS ADDITION D'ALCOOL, AVEC OU SANS ADDITION DE SUCRE OU D'AUTRES ÉDULCORANTS (À L'EXCL. DES MÉLANGES AINSI QUE DES JUS D'AGRUMES, D'ANANAS, DE TOMATE, DE RAISIN - Y.C. LES MOÛTS - ET DE POMME)</v>
      </c>
      <c r="C10957">
        <v>9711833</v>
      </c>
      <c r="D10957">
        <v>40744</v>
      </c>
    </row>
    <row r="10958" spans="1:4" x14ac:dyDescent="0.25">
      <c r="A10958" t="str">
        <f>T("   200990")</f>
        <v xml:space="preserve">   200990</v>
      </c>
      <c r="B10958" t="str">
        <f>T("   MÉLANGES DE JUS DE FRUITS - Y.C. LES MOÛTS DE RAISIN - ET DE JUS DE LÉGUMES, NON-FERMENTÉS, SANS ADDITION D'ALCOOL, AVEC OU SANS ADDITION DE SUCRE OU D'AUTRES ÉDULCORANTS")</f>
        <v xml:space="preserve">   MÉLANGES DE JUS DE FRUITS - Y.C. LES MOÛTS DE RAISIN - ET DE JUS DE LÉGUMES, NON-FERMENTÉS, SANS ADDITION D'ALCOOL, AVEC OU SANS ADDITION DE SUCRE OU D'AUTRES ÉDULCORANTS</v>
      </c>
      <c r="C10958">
        <v>55930812</v>
      </c>
      <c r="D10958">
        <v>142435</v>
      </c>
    </row>
    <row r="10959" spans="1:4" x14ac:dyDescent="0.25">
      <c r="A10959" t="str">
        <f>T("   210390")</f>
        <v xml:space="preserve">   210390</v>
      </c>
      <c r="B10959" t="str">
        <f>T("   Préparations pour sauces et sauces préparées; condiments et assaisonnements, composés (à l'excl. de la sauce de soja, du tomato ketchup et autres sauces tomates, de la farine de moutarde et de la moutarde préparée)")</f>
        <v xml:space="preserve">   Préparations pour sauces et sauces préparées; condiments et assaisonnements, composés (à l'excl. de la sauce de soja, du tomato ketchup et autres sauces tomates, de la farine de moutarde et de la moutarde préparée)</v>
      </c>
      <c r="C10959">
        <v>688758</v>
      </c>
      <c r="D10959">
        <v>1226</v>
      </c>
    </row>
    <row r="10960" spans="1:4" x14ac:dyDescent="0.25">
      <c r="A10960" t="str">
        <f>T("   210690")</f>
        <v xml:space="preserve">   210690</v>
      </c>
      <c r="B10960" t="str">
        <f>T("   Préparations alimentaires, n.d.a.")</f>
        <v xml:space="preserve">   Préparations alimentaires, n.d.a.</v>
      </c>
      <c r="C10960">
        <v>1052160</v>
      </c>
      <c r="D10960">
        <v>594</v>
      </c>
    </row>
    <row r="10961" spans="1:4" x14ac:dyDescent="0.25">
      <c r="A10961" t="str">
        <f>T("   220210")</f>
        <v xml:space="preserve">   220210</v>
      </c>
      <c r="B10961" t="str">
        <f>T("   Eaux, y.c. les eaux minérales et les eaux gazéifiées, additionnées de sucre ou d'autres édulcorants ou aromatisées, directement consommables en l'état en tant que boissons")</f>
        <v xml:space="preserve">   Eaux, y.c. les eaux minérales et les eaux gazéifiées, additionnées de sucre ou d'autres édulcorants ou aromatisées, directement consommables en l'état en tant que boissons</v>
      </c>
      <c r="C10961">
        <v>271588</v>
      </c>
      <c r="D10961">
        <v>190.55</v>
      </c>
    </row>
    <row r="10962" spans="1:4" x14ac:dyDescent="0.25">
      <c r="A10962" t="str">
        <f>T("   220290")</f>
        <v xml:space="preserve">   220290</v>
      </c>
      <c r="B10962" t="str">
        <f>T("   BOISSONS NON-ALCOOLIQUES (À L'EXCL. DES EAUX, DES JUS DE FRUITS OU DE LÉGUMES AINSI QUE DU LAIT)")</f>
        <v xml:space="preserve">   BOISSONS NON-ALCOOLIQUES (À L'EXCL. DES EAUX, DES JUS DE FRUITS OU DE LÉGUMES AINSI QUE DU LAIT)</v>
      </c>
      <c r="C10962">
        <v>2740923</v>
      </c>
      <c r="D10962">
        <v>17188</v>
      </c>
    </row>
    <row r="10963" spans="1:4" x14ac:dyDescent="0.25">
      <c r="A10963" t="str">
        <f>T("   220410")</f>
        <v xml:space="preserve">   220410</v>
      </c>
      <c r="B10963" t="str">
        <f>T("   Vins mousseux produits à partir de raisins frais")</f>
        <v xml:space="preserve">   Vins mousseux produits à partir de raisins frais</v>
      </c>
      <c r="C10963">
        <v>1093617</v>
      </c>
      <c r="D10963">
        <v>2132</v>
      </c>
    </row>
    <row r="10964" spans="1:4" x14ac:dyDescent="0.25">
      <c r="A10964" t="str">
        <f>T("   220421")</f>
        <v xml:space="preserve">   220421</v>
      </c>
      <c r="B10964" t="str">
        <f>T("   Vins de raisins frais, y.c. les vins enrichis en alcool (à l'excl. des vins mousseux); moûts de raisins dont la fermentation a été empêchée ou arrêtée par addition d'alcool, en récipients d'une contenance &lt;= 2 l")</f>
        <v xml:space="preserve">   Vins de raisins frais, y.c. les vins enrichis en alcool (à l'excl. des vins mousseux); moûts de raisins dont la fermentation a été empêchée ou arrêtée par addition d'alcool, en récipients d'une contenance &lt;= 2 l</v>
      </c>
      <c r="C10964">
        <v>8442430</v>
      </c>
      <c r="D10964">
        <v>24775</v>
      </c>
    </row>
    <row r="10965" spans="1:4" x14ac:dyDescent="0.25">
      <c r="A10965" t="str">
        <f>T("   220429")</f>
        <v xml:space="preserve">   220429</v>
      </c>
      <c r="B10965" t="str">
        <f>T("   VINS DE RAISINS FRAIS, Y.C. LES VINS ENRICHIS EN ALCOOL, ET MOÛTS DE RAISINS DONT LA FERMENTATION A ÉTÉ EMPÊCHÉE OU ARRÊTÉE PAR ADDITION D'ALCOOL, EN RÉCIPIENTS D'UNE CONTENANCE &gt; 2 L (À L'EXCL. DES VINS MOUSSEUX)")</f>
        <v xml:space="preserve">   VINS DE RAISINS FRAIS, Y.C. LES VINS ENRICHIS EN ALCOOL, ET MOÛTS DE RAISINS DONT LA FERMENTATION A ÉTÉ EMPÊCHÉE OU ARRÊTÉE PAR ADDITION D'ALCOOL, EN RÉCIPIENTS D'UNE CONTENANCE &gt; 2 L (À L'EXCL. DES VINS MOUSSEUX)</v>
      </c>
      <c r="C10965">
        <v>20960977</v>
      </c>
      <c r="D10965">
        <v>57837</v>
      </c>
    </row>
    <row r="10966" spans="1:4" x14ac:dyDescent="0.25">
      <c r="A10966" t="str">
        <f>T("   220830")</f>
        <v xml:space="preserve">   220830</v>
      </c>
      <c r="B10966" t="str">
        <f>T("   Whiskies")</f>
        <v xml:space="preserve">   Whiskies</v>
      </c>
      <c r="C10966">
        <v>10659488</v>
      </c>
      <c r="D10966">
        <v>17600</v>
      </c>
    </row>
    <row r="10967" spans="1:4" x14ac:dyDescent="0.25">
      <c r="A10967" t="str">
        <f>T("   220870")</f>
        <v xml:space="preserve">   220870</v>
      </c>
      <c r="B10967" t="str">
        <f>T("   LIQUEURS")</f>
        <v xml:space="preserve">   LIQUEURS</v>
      </c>
      <c r="C10967">
        <v>5042416</v>
      </c>
      <c r="D10967">
        <v>5466</v>
      </c>
    </row>
    <row r="10968" spans="1:4" x14ac:dyDescent="0.25">
      <c r="A10968" t="str">
        <f>T("   250810")</f>
        <v xml:space="preserve">   250810</v>
      </c>
      <c r="B10968" t="str">
        <f>T("   Bentonite")</f>
        <v xml:space="preserve">   Bentonite</v>
      </c>
      <c r="C10968">
        <v>3460907</v>
      </c>
      <c r="D10968">
        <v>21250</v>
      </c>
    </row>
    <row r="10969" spans="1:4" x14ac:dyDescent="0.25">
      <c r="A10969" t="str">
        <f>T("   271019")</f>
        <v xml:space="preserve">   271019</v>
      </c>
      <c r="B10969" t="str">
        <f>T("   Huiles moyennes et préparations, de pétrole ou de minéraux bitumineux, n.d.a.")</f>
        <v xml:space="preserve">   Huiles moyennes et préparations, de pétrole ou de minéraux bitumineux, n.d.a.</v>
      </c>
      <c r="C10969">
        <v>4232521</v>
      </c>
      <c r="D10969">
        <v>23465</v>
      </c>
    </row>
    <row r="10970" spans="1:4" x14ac:dyDescent="0.25">
      <c r="A10970" t="str">
        <f>T("   280610")</f>
        <v xml:space="preserve">   280610</v>
      </c>
      <c r="B10970" t="str">
        <f>T("   Chlorure d'hydrogène [acide chlorhydrique]")</f>
        <v xml:space="preserve">   Chlorure d'hydrogène [acide chlorhydrique]</v>
      </c>
      <c r="C10970">
        <v>4704353</v>
      </c>
      <c r="D10970">
        <v>26400</v>
      </c>
    </row>
    <row r="10971" spans="1:4" x14ac:dyDescent="0.25">
      <c r="A10971" t="str">
        <f>T("   300490")</f>
        <v xml:space="preserve">   300490</v>
      </c>
      <c r="B10971" t="s">
        <v>78</v>
      </c>
      <c r="C10971">
        <v>34324336</v>
      </c>
      <c r="D10971">
        <v>900</v>
      </c>
    </row>
    <row r="10972" spans="1:4" x14ac:dyDescent="0.25">
      <c r="A10972" t="str">
        <f>T("   330499")</f>
        <v xml:space="preserve">   330499</v>
      </c>
      <c r="B10972" t="s">
        <v>100</v>
      </c>
      <c r="C10972">
        <v>35609648</v>
      </c>
      <c r="D10972">
        <v>145449</v>
      </c>
    </row>
    <row r="10973" spans="1:4" x14ac:dyDescent="0.25">
      <c r="A10973" t="str">
        <f>T("   330520")</f>
        <v xml:space="preserve">   330520</v>
      </c>
      <c r="B10973" t="str">
        <f>T("   Préparations pour l'ondulation ou le défrisage permanents")</f>
        <v xml:space="preserve">   Préparations pour l'ondulation ou le défrisage permanents</v>
      </c>
      <c r="C10973">
        <v>326668</v>
      </c>
      <c r="D10973">
        <v>187</v>
      </c>
    </row>
    <row r="10974" spans="1:4" x14ac:dyDescent="0.25">
      <c r="A10974" t="str">
        <f>T("   330720")</f>
        <v xml:space="preserve">   330720</v>
      </c>
      <c r="B10974" t="str">
        <f>T("   Désodorisants corporels et antisudoraux, préparés")</f>
        <v xml:space="preserve">   Désodorisants corporels et antisudoraux, préparés</v>
      </c>
      <c r="C10974">
        <v>547071</v>
      </c>
      <c r="D10974">
        <v>937</v>
      </c>
    </row>
    <row r="10975" spans="1:4" x14ac:dyDescent="0.25">
      <c r="A10975" t="str">
        <f>T("   330749")</f>
        <v xml:space="preserve">   330749</v>
      </c>
      <c r="B10975" t="str">
        <f>T("   Préparations pour parfumer ou pour désodoriser les locaux, y.c. les préparations odoriférantes pour cérémonies religieuses (à l'excl. de l'agarbatti et des autres préparations odoriférantes agissant par combustion)")</f>
        <v xml:space="preserve">   Préparations pour parfumer ou pour désodoriser les locaux, y.c. les préparations odoriférantes pour cérémonies religieuses (à l'excl. de l'agarbatti et des autres préparations odoriférantes agissant par combustion)</v>
      </c>
      <c r="C10975">
        <v>7110213</v>
      </c>
      <c r="D10975">
        <v>25932</v>
      </c>
    </row>
    <row r="10976" spans="1:4" x14ac:dyDescent="0.25">
      <c r="A10976" t="str">
        <f>T("   340111")</f>
        <v xml:space="preserve">   340111</v>
      </c>
      <c r="B10976" t="s">
        <v>101</v>
      </c>
      <c r="C10976">
        <v>5393959</v>
      </c>
      <c r="D10976">
        <v>15438</v>
      </c>
    </row>
    <row r="10977" spans="1:4" x14ac:dyDescent="0.25">
      <c r="A10977" t="str">
        <f>T("   380290")</f>
        <v xml:space="preserve">   380290</v>
      </c>
      <c r="B10977" t="str">
        <f>T("   Kieselguhr activé, autres matières minérales naturelles activées et noirs d'origine animale, y.c. le noir animal épuisé (à l'excl. des charbons activés, des produits chimiques activés ainsi que de la diatomite calcinée sans agents frittants)")</f>
        <v xml:space="preserve">   Kieselguhr activé, autres matières minérales naturelles activées et noirs d'origine animale, y.c. le noir animal épuisé (à l'excl. des charbons activés, des produits chimiques activés ainsi que de la diatomite calcinée sans agents frittants)</v>
      </c>
      <c r="C10977">
        <v>20516343</v>
      </c>
      <c r="D10977">
        <v>63750</v>
      </c>
    </row>
    <row r="10978" spans="1:4" x14ac:dyDescent="0.25">
      <c r="A10978" t="str">
        <f>T("   381900")</f>
        <v xml:space="preserve">   381900</v>
      </c>
      <c r="B10978" t="str">
        <f>T("   Liquides pour freins hydrauliques et autres liquides préparés pour transmissions hydrauliques, ne contenant ni huiles de pétrole ni huiles de minéraux bitumineux ou en contenant &lt; 70% en poids")</f>
        <v xml:space="preserve">   Liquides pour freins hydrauliques et autres liquides préparés pour transmissions hydrauliques, ne contenant ni huiles de pétrole ni huiles de minéraux bitumineux ou en contenant &lt; 70% en poids</v>
      </c>
      <c r="C10978">
        <v>192699</v>
      </c>
      <c r="D10978">
        <v>13</v>
      </c>
    </row>
    <row r="10979" spans="1:4" x14ac:dyDescent="0.25">
      <c r="A10979" t="str">
        <f>T("   390110")</f>
        <v xml:space="preserve">   390110</v>
      </c>
      <c r="B10979" t="str">
        <f>T("   Polyéthylène d'une densité &lt; 0,94, sous formes primaires")</f>
        <v xml:space="preserve">   Polyéthylène d'une densité &lt; 0,94, sous formes primaires</v>
      </c>
      <c r="C10979">
        <v>10661605</v>
      </c>
      <c r="D10979">
        <v>16050</v>
      </c>
    </row>
    <row r="10980" spans="1:4" x14ac:dyDescent="0.25">
      <c r="A10980" t="str">
        <f>T("   390210")</f>
        <v xml:space="preserve">   390210</v>
      </c>
      <c r="B10980" t="str">
        <f>T("   Polypropylène, sous formes primaires")</f>
        <v xml:space="preserve">   Polypropylène, sous formes primaires</v>
      </c>
      <c r="C10980">
        <v>27972102</v>
      </c>
      <c r="D10980">
        <v>85000</v>
      </c>
    </row>
    <row r="10981" spans="1:4" x14ac:dyDescent="0.25">
      <c r="A10981" t="str">
        <f>T("   392350")</f>
        <v xml:space="preserve">   392350</v>
      </c>
      <c r="B10981" t="str">
        <f>T("   Bouchons, couvercles, capsules et autres dispositifs de fermeture, en matières plastiques")</f>
        <v xml:space="preserve">   Bouchons, couvercles, capsules et autres dispositifs de fermeture, en matières plastiques</v>
      </c>
      <c r="C10981">
        <v>13484</v>
      </c>
      <c r="D10981">
        <v>13.4</v>
      </c>
    </row>
    <row r="10982" spans="1:4" x14ac:dyDescent="0.25">
      <c r="A10982" t="str">
        <f>T("   392390")</f>
        <v xml:space="preserve">   392390</v>
      </c>
      <c r="B10982" t="s">
        <v>144</v>
      </c>
      <c r="C10982">
        <v>333755</v>
      </c>
      <c r="D10982">
        <v>204.54</v>
      </c>
    </row>
    <row r="10983" spans="1:4" x14ac:dyDescent="0.25">
      <c r="A10983" t="str">
        <f>T("   392410")</f>
        <v xml:space="preserve">   392410</v>
      </c>
      <c r="B10983" t="str">
        <f>T("   Vaisselle et autres articles pour le service de la table ou de la cuisine, en matières plastiques")</f>
        <v xml:space="preserve">   Vaisselle et autres articles pour le service de la table ou de la cuisine, en matières plastiques</v>
      </c>
      <c r="C10983">
        <v>362150</v>
      </c>
      <c r="D10983">
        <v>216</v>
      </c>
    </row>
    <row r="10984" spans="1:4" x14ac:dyDescent="0.25">
      <c r="A10984" t="str">
        <f>T("   392490")</f>
        <v xml:space="preserve">   392490</v>
      </c>
      <c r="B10984" t="s">
        <v>145</v>
      </c>
      <c r="C10984">
        <v>427686</v>
      </c>
      <c r="D10984">
        <v>1348</v>
      </c>
    </row>
    <row r="10985" spans="1:4" x14ac:dyDescent="0.25">
      <c r="A10985" t="str">
        <f>T("   392610")</f>
        <v xml:space="preserve">   392610</v>
      </c>
      <c r="B10985" t="str">
        <f>T("   Articles de bureau et articles scolaires, en matières plastiques, n.d.a.")</f>
        <v xml:space="preserve">   Articles de bureau et articles scolaires, en matières plastiques, n.d.a.</v>
      </c>
      <c r="C10985">
        <v>2998428</v>
      </c>
      <c r="D10985">
        <v>667.6</v>
      </c>
    </row>
    <row r="10986" spans="1:4" x14ac:dyDescent="0.25">
      <c r="A10986" t="str">
        <f>T("   401110")</f>
        <v xml:space="preserve">   401110</v>
      </c>
      <c r="B10986" t="str">
        <f>T("   Pneumatiques neufs, en caoutchouc, des types utilisés pour les voitures de tourisme, y.c. les voitures du type 'break' et les voitures de course")</f>
        <v xml:space="preserve">   Pneumatiques neufs, en caoutchouc, des types utilisés pour les voitures de tourisme, y.c. les voitures du type 'break' et les voitures de course</v>
      </c>
      <c r="C10986">
        <v>22016439</v>
      </c>
      <c r="D10986">
        <v>6035</v>
      </c>
    </row>
    <row r="10987" spans="1:4" x14ac:dyDescent="0.25">
      <c r="A10987" t="str">
        <f>T("   401120")</f>
        <v xml:space="preserve">   401120</v>
      </c>
      <c r="B10987" t="str">
        <f>T("   Pneumatiques neufs, en caoutchouc, des types utilisés pour les autobus ou les camions (à l'excl. des pneumatiques à crampons, à chevrons ou simil.)")</f>
        <v xml:space="preserve">   Pneumatiques neufs, en caoutchouc, des types utilisés pour les autobus ou les camions (à l'excl. des pneumatiques à crampons, à chevrons ou simil.)</v>
      </c>
      <c r="C10987">
        <v>4281593</v>
      </c>
      <c r="D10987">
        <v>1096</v>
      </c>
    </row>
    <row r="10988" spans="1:4" x14ac:dyDescent="0.25">
      <c r="A10988" t="str">
        <f>T("   401220")</f>
        <v xml:space="preserve">   401220</v>
      </c>
      <c r="B10988" t="str">
        <f>T("   Pneumatiques usagés, en caoutchouc")</f>
        <v xml:space="preserve">   Pneumatiques usagés, en caoutchouc</v>
      </c>
      <c r="C10988">
        <v>39358</v>
      </c>
      <c r="D10988">
        <v>37</v>
      </c>
    </row>
    <row r="10989" spans="1:4" x14ac:dyDescent="0.25">
      <c r="A10989" t="str">
        <f>T("   480256")</f>
        <v xml:space="preserve">   480256</v>
      </c>
      <c r="B10989" t="s">
        <v>190</v>
      </c>
      <c r="C10989">
        <v>96443833</v>
      </c>
      <c r="D10989">
        <v>299016</v>
      </c>
    </row>
    <row r="10990" spans="1:4" x14ac:dyDescent="0.25">
      <c r="A10990" t="str">
        <f>T("   480421")</f>
        <v xml:space="preserve">   480421</v>
      </c>
      <c r="B10990" t="str">
        <f>T("   PAPIERS KRAFT POUR SACS DE GRANDE CONTENANCE, ÉCRUS, NON-COUCHÉS NI ENDUITS, EN ROULEAUX D'UNE LARGEUR &gt; 36 CM (À L'EXCL. DES ARTICLES DU N° 4802, 4803 OU 4808)")</f>
        <v xml:space="preserve">   PAPIERS KRAFT POUR SACS DE GRANDE CONTENANCE, ÉCRUS, NON-COUCHÉS NI ENDUITS, EN ROULEAUX D'UNE LARGEUR &gt; 36 CM (À L'EXCL. DES ARTICLES DU N° 4802, 4803 OU 4808)</v>
      </c>
      <c r="C10990">
        <v>146736556</v>
      </c>
      <c r="D10990">
        <v>305861</v>
      </c>
    </row>
    <row r="10991" spans="1:4" x14ac:dyDescent="0.25">
      <c r="A10991" t="str">
        <f>T("   480429")</f>
        <v xml:space="preserve">   480429</v>
      </c>
      <c r="B10991" t="str">
        <f>T("   PAPIERS KRAFT POUR SACS DE GRANDE CONTENANCE, NON-COUCHÉS NI ENDUITS, EN ROULEAUX D'UNE LARGEUR &gt; 36 CM (À L'EXCL. DES PAPIERS ÉCRUS AINSI QUE DES ARTICLES DU N° 4802, 4803 OU 4808)")</f>
        <v xml:space="preserve">   PAPIERS KRAFT POUR SACS DE GRANDE CONTENANCE, NON-COUCHÉS NI ENDUITS, EN ROULEAUX D'UNE LARGEUR &gt; 36 CM (À L'EXCL. DES PAPIERS ÉCRUS AINSI QUE DES ARTICLES DU N° 4802, 4803 OU 4808)</v>
      </c>
      <c r="C10991">
        <v>60250053</v>
      </c>
      <c r="D10991">
        <v>156055</v>
      </c>
    </row>
    <row r="10992" spans="1:4" x14ac:dyDescent="0.25">
      <c r="A10992" t="str">
        <f>T("   480810")</f>
        <v xml:space="preserve">   480810</v>
      </c>
      <c r="B10992" t="str">
        <f>T("   Papiers et cartons ondulés, même avec recouvrement par collage, même perforés, en rouleaux d'une largeur &gt; 36 cm ou en feuilles de forme carrée ou rectangulaire dont au moins un coté &gt; 36 cm et l'autre &gt; 15 cm à l'état non plié")</f>
        <v xml:space="preserve">   Papiers et cartons ondulés, même avec recouvrement par collage, même perforés, en rouleaux d'une largeur &gt; 36 cm ou en feuilles de forme carrée ou rectangulaire dont au moins un coté &gt; 36 cm et l'autre &gt; 15 cm à l'état non plié</v>
      </c>
      <c r="C10992">
        <v>14040000</v>
      </c>
      <c r="D10992">
        <v>10920</v>
      </c>
    </row>
    <row r="10993" spans="1:4" x14ac:dyDescent="0.25">
      <c r="A10993" t="str">
        <f>T("   481890")</f>
        <v xml:space="preserve">   481890</v>
      </c>
      <c r="B10993" t="s">
        <v>215</v>
      </c>
      <c r="C10993">
        <v>647522</v>
      </c>
      <c r="D10993">
        <v>310.25</v>
      </c>
    </row>
    <row r="10994" spans="1:4" x14ac:dyDescent="0.25">
      <c r="A10994" t="str">
        <f>T("   481910")</f>
        <v xml:space="preserve">   481910</v>
      </c>
      <c r="B10994" t="str">
        <f>T("   Boîtes et caisses en papier ou en carton ondulé")</f>
        <v xml:space="preserve">   Boîtes et caisses en papier ou en carton ondulé</v>
      </c>
      <c r="C10994">
        <v>1598919</v>
      </c>
      <c r="D10994">
        <v>400</v>
      </c>
    </row>
    <row r="10995" spans="1:4" x14ac:dyDescent="0.25">
      <c r="A10995" t="str">
        <f>T("   482090")</f>
        <v xml:space="preserve">   482090</v>
      </c>
      <c r="B10995" t="s">
        <v>217</v>
      </c>
      <c r="C10995">
        <v>46980</v>
      </c>
      <c r="D10995">
        <v>75</v>
      </c>
    </row>
    <row r="10996" spans="1:4" x14ac:dyDescent="0.25">
      <c r="A10996" t="str">
        <f>T("   482390")</f>
        <v xml:space="preserve">   482390</v>
      </c>
      <c r="B10996" t="s">
        <v>218</v>
      </c>
      <c r="C10996">
        <v>323036</v>
      </c>
      <c r="D10996">
        <v>203.32</v>
      </c>
    </row>
    <row r="10997" spans="1:4" x14ac:dyDescent="0.25">
      <c r="A10997" t="str">
        <f>T("   490199")</f>
        <v xml:space="preserve">   490199</v>
      </c>
      <c r="B10997" t="str">
        <f>T("   Livres, brochures et imprimés simil. (à l'excl. des produits en feuillets isolés, des dictionnaires et encyclopédies, même en fascicules, des publications périodiques ainsi que des publications à usages principalement publicitaires)")</f>
        <v xml:space="preserve">   Livres, brochures et imprimés simil. (à l'excl. des produits en feuillets isolés, des dictionnaires et encyclopédies, même en fascicules, des publications périodiques ainsi que des publications à usages principalement publicitaires)</v>
      </c>
      <c r="C10997">
        <v>933248</v>
      </c>
      <c r="D10997">
        <v>1020</v>
      </c>
    </row>
    <row r="10998" spans="1:4" x14ac:dyDescent="0.25">
      <c r="A10998" t="str">
        <f>T("   490290")</f>
        <v xml:space="preserve">   490290</v>
      </c>
      <c r="B10998" t="str">
        <f>T("   Journaux et publications périodiques imprimés, même illustrés ou contenant de la publicité (à l'excl. des journaux et publications paraissant au moins quatre fois par semaine)")</f>
        <v xml:space="preserve">   Journaux et publications périodiques imprimés, même illustrés ou contenant de la publicité (à l'excl. des journaux et publications paraissant au moins quatre fois par semaine)</v>
      </c>
      <c r="C10998">
        <v>275000</v>
      </c>
      <c r="D10998">
        <v>76</v>
      </c>
    </row>
    <row r="10999" spans="1:4" x14ac:dyDescent="0.25">
      <c r="A10999" t="str">
        <f>T("   491199")</f>
        <v xml:space="preserve">   491199</v>
      </c>
      <c r="B10999" t="str">
        <f>T("   Imprimés, n.d.a.")</f>
        <v xml:space="preserve">   Imprimés, n.d.a.</v>
      </c>
      <c r="C10999">
        <v>413255</v>
      </c>
      <c r="D10999">
        <v>165</v>
      </c>
    </row>
    <row r="11000" spans="1:4" x14ac:dyDescent="0.25">
      <c r="A11000" t="str">
        <f>T("   610910")</f>
        <v xml:space="preserve">   610910</v>
      </c>
      <c r="B11000" t="str">
        <f>T("   T-shirts et maillots de corps, en bonneterie, de coton,")</f>
        <v xml:space="preserve">   T-shirts et maillots de corps, en bonneterie, de coton,</v>
      </c>
      <c r="C11000">
        <v>47935</v>
      </c>
      <c r="D11000">
        <v>467</v>
      </c>
    </row>
    <row r="11001" spans="1:4" x14ac:dyDescent="0.25">
      <c r="A11001" t="str">
        <f>T("   620590")</f>
        <v xml:space="preserve">   620590</v>
      </c>
      <c r="B11001" t="str">
        <f>T("   CHEMISES ET CHEMISETTES, DE MATIÈRES TEXTILES, POUR HOMMES OU GARÇONNETS (AUTRES QUE DE COTON, FIBRES SYNTHÉTIQUES OU ARTIFICIELLES, AUTRES QU'EN BONNETERIE ET SAUF CHEMISES DE NUIT ET GILETS DE CORPS)")</f>
        <v xml:space="preserve">   CHEMISES ET CHEMISETTES, DE MATIÈRES TEXTILES, POUR HOMMES OU GARÇONNETS (AUTRES QUE DE COTON, FIBRES SYNTHÉTIQUES OU ARTIFICIELLES, AUTRES QU'EN BONNETERIE ET SAUF CHEMISES DE NUIT ET GILETS DE CORPS)</v>
      </c>
      <c r="C11001">
        <v>1306440</v>
      </c>
      <c r="D11001">
        <v>893</v>
      </c>
    </row>
    <row r="11002" spans="1:4" x14ac:dyDescent="0.25">
      <c r="A11002" t="str">
        <f>T("   621050")</f>
        <v xml:space="preserve">   621050</v>
      </c>
      <c r="B11002" t="s">
        <v>273</v>
      </c>
      <c r="C11002">
        <v>200000</v>
      </c>
      <c r="D11002">
        <v>166</v>
      </c>
    </row>
    <row r="11003" spans="1:4" x14ac:dyDescent="0.25">
      <c r="A11003" t="str">
        <f>T("   630260")</f>
        <v xml:space="preserve">   630260</v>
      </c>
      <c r="B11003" t="str">
        <f>T("   Linge de toilette ou de cuisine, bouclé du genre éponge, de coton (sauf serpillières, chiffons à parquet, lavettes et chamoisettes)")</f>
        <v xml:space="preserve">   Linge de toilette ou de cuisine, bouclé du genre éponge, de coton (sauf serpillières, chiffons à parquet, lavettes et chamoisettes)</v>
      </c>
      <c r="C11003">
        <v>445893</v>
      </c>
      <c r="D11003">
        <v>98.8</v>
      </c>
    </row>
    <row r="11004" spans="1:4" x14ac:dyDescent="0.25">
      <c r="A11004" t="str">
        <f>T("   630520")</f>
        <v xml:space="preserve">   630520</v>
      </c>
      <c r="B11004" t="str">
        <f>T("   SACS ET SACHETS D'EMBALLAGE DE COTON")</f>
        <v xml:space="preserve">   SACS ET SACHETS D'EMBALLAGE DE COTON</v>
      </c>
      <c r="C11004">
        <v>15113426</v>
      </c>
      <c r="D11004">
        <v>8000</v>
      </c>
    </row>
    <row r="11005" spans="1:4" x14ac:dyDescent="0.25">
      <c r="A11005" t="str">
        <f>T("   630900")</f>
        <v xml:space="preserve">   630900</v>
      </c>
      <c r="B11005" t="s">
        <v>280</v>
      </c>
      <c r="C11005">
        <v>80342</v>
      </c>
      <c r="D11005">
        <v>100</v>
      </c>
    </row>
    <row r="11006" spans="1:4" x14ac:dyDescent="0.25">
      <c r="A11006" t="str">
        <f>T("   700711")</f>
        <v xml:space="preserve">   700711</v>
      </c>
      <c r="B11006" t="str">
        <f>T("   VERRES TREMPÉS DE DIMENSIONS ET FORMATS PERMETTANT LEUR EMPLOI DANS LES AUTOMOBILES, VÉHICULES AÉRIENS, BATEAUX OU AUTRES VÉHICULES [01/01/1988-31/12/1988: VERRES TREMPES, -DE SECURITE-, POUR AUTOMOBILES, AERODYNES, BATEAUX OU AUTRES VÉHICULES]")</f>
        <v xml:space="preserve">   VERRES TREMPÉS DE DIMENSIONS ET FORMATS PERMETTANT LEUR EMPLOI DANS LES AUTOMOBILES, VÉHICULES AÉRIENS, BATEAUX OU AUTRES VÉHICULES [01/01/1988-31/12/1988: VERRES TREMPES, -DE SECURITE-, POUR AUTOMOBILES, AERODYNES, BATEAUX OU AUTRES VÉHICULES]</v>
      </c>
      <c r="C11006">
        <v>52729</v>
      </c>
      <c r="D11006">
        <v>2</v>
      </c>
    </row>
    <row r="11007" spans="1:4" x14ac:dyDescent="0.25">
      <c r="A11007" t="str">
        <f>T("   701339")</f>
        <v xml:space="preserve">   701339</v>
      </c>
      <c r="B11007" t="s">
        <v>327</v>
      </c>
      <c r="C11007">
        <v>156280</v>
      </c>
      <c r="D11007">
        <v>35</v>
      </c>
    </row>
    <row r="11008" spans="1:4" x14ac:dyDescent="0.25">
      <c r="A11008" t="str">
        <f>T("   701399")</f>
        <v xml:space="preserve">   701399</v>
      </c>
      <c r="B11008" t="s">
        <v>328</v>
      </c>
      <c r="C11008">
        <v>350060</v>
      </c>
      <c r="D11008">
        <v>70</v>
      </c>
    </row>
    <row r="11009" spans="1:4" x14ac:dyDescent="0.25">
      <c r="A11009" t="str">
        <f>T("   720449")</f>
        <v xml:space="preserve">   720449</v>
      </c>
      <c r="B11009" t="s">
        <v>336</v>
      </c>
      <c r="C11009">
        <v>6925423</v>
      </c>
      <c r="D11009">
        <v>450</v>
      </c>
    </row>
    <row r="11010" spans="1:4" x14ac:dyDescent="0.25">
      <c r="A11010" t="str">
        <f>T("   721391")</f>
        <v xml:space="preserve">   721391</v>
      </c>
      <c r="B11010" t="str">
        <f>T("   FIL MACHINE EN FER OU ACIERS NON-ALLIÉS, ENROULÉ EN COURONNES IRRÉGULIÈRES, DE SECTION CIRCULAIRE DE DIAMÈTRE &lt; 14 MM (AUTRE QU'EN ACIERS DE DÉCOLLETAGE ET AUTRE QUE FIL MACHINE AVEC INDENTATIONS, BOURRELETS, CREUX OU RELIEFS OBTENUS LORS DU LAMINAGE)")</f>
        <v xml:space="preserve">   FIL MACHINE EN FER OU ACIERS NON-ALLIÉS, ENROULÉ EN COURONNES IRRÉGULIÈRES, DE SECTION CIRCULAIRE DE DIAMÈTRE &lt; 14 MM (AUTRE QU'EN ACIERS DE DÉCOLLETAGE ET AUTRE QUE FIL MACHINE AVEC INDENTATIONS, BOURRELETS, CREUX OU RELIEFS OBTENUS LORS DU LAMINAGE)</v>
      </c>
      <c r="C11010">
        <v>2621324749</v>
      </c>
      <c r="D11010">
        <v>6831636</v>
      </c>
    </row>
    <row r="11011" spans="1:4" x14ac:dyDescent="0.25">
      <c r="A11011" t="str">
        <f>T("   721621")</f>
        <v xml:space="preserve">   721621</v>
      </c>
      <c r="B11011" t="str">
        <f>T("   PROFILÉS EN L EN FER OU ACIERS NON ALLIÉS, SIMPLEMENT LAMINÉS OU FILÉS À CHAUD, HAUTEUR &lt; 80 MM")</f>
        <v xml:space="preserve">   PROFILÉS EN L EN FER OU ACIERS NON ALLIÉS, SIMPLEMENT LAMINÉS OU FILÉS À CHAUD, HAUTEUR &lt; 80 MM</v>
      </c>
      <c r="C11011">
        <v>63248094</v>
      </c>
      <c r="D11011">
        <v>200852</v>
      </c>
    </row>
    <row r="11012" spans="1:4" x14ac:dyDescent="0.25">
      <c r="A11012" t="str">
        <f>T("   730820")</f>
        <v xml:space="preserve">   730820</v>
      </c>
      <c r="B11012" t="str">
        <f>T("   Tours et pylônes, en fer ou en acier")</f>
        <v xml:space="preserve">   Tours et pylônes, en fer ou en acier</v>
      </c>
      <c r="C11012">
        <v>19908566</v>
      </c>
      <c r="D11012">
        <v>9100</v>
      </c>
    </row>
    <row r="11013" spans="1:4" x14ac:dyDescent="0.25">
      <c r="A11013" t="str">
        <f>T("   731815")</f>
        <v xml:space="preserve">   731815</v>
      </c>
      <c r="B11013" t="s">
        <v>354</v>
      </c>
      <c r="C11013">
        <v>30199</v>
      </c>
      <c r="D11013">
        <v>2</v>
      </c>
    </row>
    <row r="11014" spans="1:4" x14ac:dyDescent="0.25">
      <c r="A11014" t="str">
        <f>T("   732394")</f>
        <v xml:space="preserve">   732394</v>
      </c>
      <c r="B11014" t="s">
        <v>361</v>
      </c>
      <c r="C11014">
        <v>1911920</v>
      </c>
      <c r="D11014">
        <v>1332</v>
      </c>
    </row>
    <row r="11015" spans="1:4" x14ac:dyDescent="0.25">
      <c r="A11015" t="str">
        <f>T("   761519")</f>
        <v xml:space="preserve">   761519</v>
      </c>
      <c r="B11015" t="s">
        <v>367</v>
      </c>
      <c r="C11015">
        <v>460513</v>
      </c>
      <c r="D11015">
        <v>271.93</v>
      </c>
    </row>
    <row r="11016" spans="1:4" x14ac:dyDescent="0.25">
      <c r="A11016" t="str">
        <f>T("   821191")</f>
        <v xml:space="preserve">   821191</v>
      </c>
      <c r="B11016" t="str">
        <f>T("   Couteaux de table à lame fixe, en métaux communs, y.c. les manches (sauf couteaux à beurre et couteaux à poisson)")</f>
        <v xml:space="preserve">   Couteaux de table à lame fixe, en métaux communs, y.c. les manches (sauf couteaux à beurre et couteaux à poisson)</v>
      </c>
      <c r="C11016">
        <v>3149814</v>
      </c>
      <c r="D11016">
        <v>627</v>
      </c>
    </row>
    <row r="11017" spans="1:4" x14ac:dyDescent="0.25">
      <c r="A11017" t="str">
        <f>T("   821599")</f>
        <v xml:space="preserve">   821599</v>
      </c>
      <c r="B11017" t="s">
        <v>374</v>
      </c>
      <c r="C11017">
        <v>167935</v>
      </c>
      <c r="D11017">
        <v>96.61</v>
      </c>
    </row>
    <row r="11018" spans="1:4" x14ac:dyDescent="0.25">
      <c r="A11018" t="str">
        <f>T("   830140")</f>
        <v xml:space="preserve">   830140</v>
      </c>
      <c r="B11018" t="str">
        <f>T("   Serrures et verrous, en métaux communs (autres que cadenas et serrures des types utilisés pour véhicules automobiles ou meubles)")</f>
        <v xml:space="preserve">   Serrures et verrous, en métaux communs (autres que cadenas et serrures des types utilisés pour véhicules automobiles ou meubles)</v>
      </c>
      <c r="C11018">
        <v>2057738</v>
      </c>
      <c r="D11018">
        <v>42</v>
      </c>
    </row>
    <row r="11019" spans="1:4" x14ac:dyDescent="0.25">
      <c r="A11019" t="str">
        <f>T("   841330")</f>
        <v xml:space="preserve">   841330</v>
      </c>
      <c r="B11019" t="str">
        <f>T("   Pompes à carburant, à huile ou à liquide de refroidissement pour moteurs à allumage par étincelles ou par compression")</f>
        <v xml:space="preserve">   Pompes à carburant, à huile ou à liquide de refroidissement pour moteurs à allumage par étincelles ou par compression</v>
      </c>
      <c r="C11019">
        <v>85324</v>
      </c>
      <c r="D11019">
        <v>4</v>
      </c>
    </row>
    <row r="11020" spans="1:4" x14ac:dyDescent="0.25">
      <c r="A11020" t="str">
        <f>T("   841829")</f>
        <v xml:space="preserve">   841829</v>
      </c>
      <c r="B11020" t="str">
        <f>T("   Réfrigérateurs ménagers à absorption, non-électriques")</f>
        <v xml:space="preserve">   Réfrigérateurs ménagers à absorption, non-électriques</v>
      </c>
      <c r="C11020">
        <v>19649938</v>
      </c>
      <c r="D11020">
        <v>2835</v>
      </c>
    </row>
    <row r="11021" spans="1:4" x14ac:dyDescent="0.25">
      <c r="A11021" t="str">
        <f>T("   842123")</f>
        <v xml:space="preserve">   842123</v>
      </c>
      <c r="B11021" t="str">
        <f>T("   Appareils pour la filtration des huiles minérales et carburants pour les moteurs à allumage par étincelles ou par compression")</f>
        <v xml:space="preserve">   Appareils pour la filtration des huiles minérales et carburants pour les moteurs à allumage par étincelles ou par compression</v>
      </c>
      <c r="C11021">
        <v>215228</v>
      </c>
      <c r="D11021">
        <v>15</v>
      </c>
    </row>
    <row r="11022" spans="1:4" x14ac:dyDescent="0.25">
      <c r="A11022" t="str">
        <f>T("   843149")</f>
        <v xml:space="preserve">   843149</v>
      </c>
      <c r="B11022" t="str">
        <f>T("   Parties de machines et appareils du n° 8426, 8429 ou 8430, n.d.a.")</f>
        <v xml:space="preserve">   Parties de machines et appareils du n° 8426, 8429 ou 8430, n.d.a.</v>
      </c>
      <c r="C11022">
        <v>747237</v>
      </c>
      <c r="D11022">
        <v>11</v>
      </c>
    </row>
    <row r="11023" spans="1:4" x14ac:dyDescent="0.25">
      <c r="A11023" t="str">
        <f>T("   844351")</f>
        <v xml:space="preserve">   844351</v>
      </c>
      <c r="B11023" t="str">
        <f>T("   Machines à imprimer à jet d'encre")</f>
        <v xml:space="preserve">   Machines à imprimer à jet d'encre</v>
      </c>
      <c r="C11023">
        <v>44655464</v>
      </c>
      <c r="D11023">
        <v>841</v>
      </c>
    </row>
    <row r="11024" spans="1:4" x14ac:dyDescent="0.25">
      <c r="A11024" t="str">
        <f>T("   847439")</f>
        <v xml:space="preserve">   847439</v>
      </c>
      <c r="B11024" t="str">
        <f>T("   Machines et appareils à mélanger ou à malaxer les matières minérales solides, y.c. -les poudres et les pâtes- (sauf bétonnières et appareils à gâcher le ciment, machines à mélanger les matières minérales au bitume et sauf calandres)")</f>
        <v xml:space="preserve">   Machines et appareils à mélanger ou à malaxer les matières minérales solides, y.c. -les poudres et les pâtes- (sauf bétonnières et appareils à gâcher le ciment, machines à mélanger les matières minérales au bitume et sauf calandres)</v>
      </c>
      <c r="C11024">
        <v>18809529</v>
      </c>
      <c r="D11024">
        <v>3341</v>
      </c>
    </row>
    <row r="11025" spans="1:4" x14ac:dyDescent="0.25">
      <c r="A11025" t="str">
        <f>T("   847480")</f>
        <v xml:space="preserve">   847480</v>
      </c>
      <c r="B11025" t="s">
        <v>437</v>
      </c>
      <c r="C11025">
        <v>26468748</v>
      </c>
      <c r="D11025">
        <v>2596</v>
      </c>
    </row>
    <row r="11026" spans="1:4" x14ac:dyDescent="0.25">
      <c r="A11026" t="str">
        <f>T("   848180")</f>
        <v xml:space="preserve">   848180</v>
      </c>
      <c r="B11026" t="str">
        <f>T("   Articles de robinetterie et organes simil. pour tuyauteries, etc. (à l'excl. des détendeurs, valves pour transmissions oléohydrauliques ou pneumatiques, clapets et soupapes de retenue et sauf soupapes de trop-plein ou de sûreté)")</f>
        <v xml:space="preserve">   Articles de robinetterie et organes simil. pour tuyauteries, etc. (à l'excl. des détendeurs, valves pour transmissions oléohydrauliques ou pneumatiques, clapets et soupapes de retenue et sauf soupapes de trop-plein ou de sûreté)</v>
      </c>
      <c r="C11026">
        <v>109292</v>
      </c>
      <c r="D11026">
        <v>6</v>
      </c>
    </row>
    <row r="11027" spans="1:4" x14ac:dyDescent="0.25">
      <c r="A11027" t="str">
        <f>T("   850440")</f>
        <v xml:space="preserve">   850440</v>
      </c>
      <c r="B11027" t="str">
        <f>T("   CONVERTISSEURS STATIQUES")</f>
        <v xml:space="preserve">   CONVERTISSEURS STATIQUES</v>
      </c>
      <c r="C11027">
        <v>406340</v>
      </c>
      <c r="D11027">
        <v>27</v>
      </c>
    </row>
    <row r="11028" spans="1:4" x14ac:dyDescent="0.25">
      <c r="A11028" t="str">
        <f>T("   851110")</f>
        <v xml:space="preserve">   851110</v>
      </c>
      <c r="B11028" t="str">
        <f>T("   Bougies d'allumage pour moteurs à allumage par étincelles ou par compression")</f>
        <v xml:space="preserve">   Bougies d'allumage pour moteurs à allumage par étincelles ou par compression</v>
      </c>
      <c r="C11028">
        <v>162499</v>
      </c>
      <c r="D11028">
        <v>10</v>
      </c>
    </row>
    <row r="11029" spans="1:4" x14ac:dyDescent="0.25">
      <c r="A11029" t="str">
        <f>T("   851711")</f>
        <v xml:space="preserve">   851711</v>
      </c>
      <c r="B11029" t="str">
        <f>T("   Postes téléphoniques d'usagers pour la téléphonie par fil à combinés sans fil")</f>
        <v xml:space="preserve">   Postes téléphoniques d'usagers pour la téléphonie par fil à combinés sans fil</v>
      </c>
      <c r="C11029">
        <v>4635847</v>
      </c>
      <c r="D11029">
        <v>3200</v>
      </c>
    </row>
    <row r="11030" spans="1:4" x14ac:dyDescent="0.25">
      <c r="A11030" t="str">
        <f>T("   851719")</f>
        <v xml:space="preserve">   851719</v>
      </c>
      <c r="B11030" t="str">
        <f>T("   Postes téléphoniques d'usagers pour la téléphonie par fil; visiophones (sauf postes téléphoniques d'usagers par fil à combinés sans fil et parlophones)")</f>
        <v xml:space="preserve">   Postes téléphoniques d'usagers pour la téléphonie par fil; visiophones (sauf postes téléphoniques d'usagers par fil à combinés sans fil et parlophones)</v>
      </c>
      <c r="C11030">
        <v>1020000</v>
      </c>
      <c r="D11030">
        <v>1</v>
      </c>
    </row>
    <row r="11031" spans="1:4" x14ac:dyDescent="0.25">
      <c r="A11031" t="str">
        <f>T("   851780")</f>
        <v xml:space="preserve">   851780</v>
      </c>
      <c r="B11031" t="s">
        <v>453</v>
      </c>
      <c r="C11031">
        <v>9750518</v>
      </c>
      <c r="D11031">
        <v>5</v>
      </c>
    </row>
    <row r="11032" spans="1:4" x14ac:dyDescent="0.25">
      <c r="A11032" t="str">
        <f>T("   851790")</f>
        <v xml:space="preserve">   851790</v>
      </c>
      <c r="B11032" t="s">
        <v>454</v>
      </c>
      <c r="C11032">
        <v>628428</v>
      </c>
      <c r="D11032">
        <v>23</v>
      </c>
    </row>
    <row r="11033" spans="1:4" x14ac:dyDescent="0.25">
      <c r="A11033" t="str">
        <f>T("   852540")</f>
        <v xml:space="preserve">   852540</v>
      </c>
      <c r="B11033" t="str">
        <f>T("   Appareils de prise de vues fixes vidéo et autres caméscopes; appareils photographiques numériques")</f>
        <v xml:space="preserve">   Appareils de prise de vues fixes vidéo et autres caméscopes; appareils photographiques numériques</v>
      </c>
      <c r="C11033">
        <v>9523521</v>
      </c>
      <c r="D11033">
        <v>5529</v>
      </c>
    </row>
    <row r="11034" spans="1:4" x14ac:dyDescent="0.25">
      <c r="A11034" t="str">
        <f>T("   852812")</f>
        <v xml:space="preserve">   852812</v>
      </c>
      <c r="B11034" t="str">
        <f>T("   Appareils récepteurs pour la télévision en couleurs, même incorporant un appareil récepteur de radiodiffusion ou un appareil d'enregistrement ou de reproduction du son ou des images")</f>
        <v xml:space="preserve">   Appareils récepteurs pour la télévision en couleurs, même incorporant un appareil récepteur de radiodiffusion ou un appareil d'enregistrement ou de reproduction du son ou des images</v>
      </c>
      <c r="C11034">
        <v>6598265</v>
      </c>
      <c r="D11034">
        <v>543</v>
      </c>
    </row>
    <row r="11035" spans="1:4" x14ac:dyDescent="0.25">
      <c r="A11035" t="str">
        <f>T("   852910")</f>
        <v xml:space="preserve">   852910</v>
      </c>
      <c r="B11035" t="str">
        <f>T("   Antennes et réflecteurs d'antennes de tous types; parties reconnaissables comme étant utilisées conjointement avec ces articles, n.d.a.")</f>
        <v xml:space="preserve">   Antennes et réflecteurs d'antennes de tous types; parties reconnaissables comme étant utilisées conjointement avec ces articles, n.d.a.</v>
      </c>
      <c r="C11035">
        <v>876547</v>
      </c>
      <c r="D11035">
        <v>311</v>
      </c>
    </row>
    <row r="11036" spans="1:4" x14ac:dyDescent="0.25">
      <c r="A11036" t="str">
        <f>T("   852990")</f>
        <v xml:space="preserve">   852990</v>
      </c>
      <c r="B11036" t="s">
        <v>466</v>
      </c>
      <c r="C11036">
        <v>6617400</v>
      </c>
      <c r="D11036">
        <v>255</v>
      </c>
    </row>
    <row r="11037" spans="1:4" x14ac:dyDescent="0.25">
      <c r="A11037" t="str">
        <f>T("   854210")</f>
        <v xml:space="preserve">   854210</v>
      </c>
      <c r="B11037" t="str">
        <f>T("   Cartes munies d'un circuit intégré électronique [cartes intelligentes], munies ou non d'une piste magnétique")</f>
        <v xml:space="preserve">   Cartes munies d'un circuit intégré électronique [cartes intelligentes], munies ou non d'une piste magnétique</v>
      </c>
      <c r="C11037">
        <v>6033520</v>
      </c>
      <c r="D11037">
        <v>1</v>
      </c>
    </row>
    <row r="11038" spans="1:4" x14ac:dyDescent="0.25">
      <c r="A11038" t="str">
        <f>T("   854389")</f>
        <v xml:space="preserve">   854389</v>
      </c>
      <c r="B11038" t="str">
        <f>T("   MACHINES ET APPAREILS ÉLECTRIQUES AYANT UNE FONCTION PROPRE, N.D.A. DANS LE CHAPITRE 85")</f>
        <v xml:space="preserve">   MACHINES ET APPAREILS ÉLECTRIQUES AYANT UNE FONCTION PROPRE, N.D.A. DANS LE CHAPITRE 85</v>
      </c>
      <c r="C11038">
        <v>667131</v>
      </c>
      <c r="D11038">
        <v>44</v>
      </c>
    </row>
    <row r="11039" spans="1:4" x14ac:dyDescent="0.25">
      <c r="A11039" t="str">
        <f>T("   870322")</f>
        <v xml:space="preserve">   870322</v>
      </c>
      <c r="B11039" t="s">
        <v>475</v>
      </c>
      <c r="C11039">
        <v>42814223</v>
      </c>
      <c r="D11039">
        <v>6972</v>
      </c>
    </row>
    <row r="11040" spans="1:4" x14ac:dyDescent="0.25">
      <c r="A11040" t="str">
        <f>T("   870323")</f>
        <v xml:space="preserve">   870323</v>
      </c>
      <c r="B11040" t="s">
        <v>476</v>
      </c>
      <c r="C11040">
        <v>11677694</v>
      </c>
      <c r="D11040">
        <v>3670</v>
      </c>
    </row>
    <row r="11041" spans="1:4" x14ac:dyDescent="0.25">
      <c r="A11041" t="str">
        <f>T("   870332")</f>
        <v xml:space="preserve">   870332</v>
      </c>
      <c r="B11041" t="s">
        <v>479</v>
      </c>
      <c r="C11041">
        <v>13184796</v>
      </c>
      <c r="D11041">
        <v>1870</v>
      </c>
    </row>
    <row r="11042" spans="1:4" x14ac:dyDescent="0.25">
      <c r="A11042" t="str">
        <f>T("   870421")</f>
        <v xml:space="preserve">   870421</v>
      </c>
      <c r="B11042" t="s">
        <v>481</v>
      </c>
      <c r="C11042">
        <v>82350665</v>
      </c>
      <c r="D11042">
        <v>14482</v>
      </c>
    </row>
    <row r="11043" spans="1:4" x14ac:dyDescent="0.25">
      <c r="A11043" t="str">
        <f>T("   870893")</f>
        <v xml:space="preserve">   870893</v>
      </c>
      <c r="B11043" t="str">
        <f>T("   EMBRAYAGES ET LEURS PARTIES, POUR TRACTEURS, VÉHICULES POUR LE TRANSPORT DE &gt;= 10 PERSONNES, CHAUFFEUR INCLUS, VOITURES DE TOURISME, VÉHICULES POUR LE TRANSPORT DE MARCHANDISES ET VÉHICULES À USAGES SPÉCIAUX, N.D.A.")</f>
        <v xml:space="preserve">   EMBRAYAGES ET LEURS PARTIES, POUR TRACTEURS, VÉHICULES POUR LE TRANSPORT DE &gt;= 10 PERSONNES, CHAUFFEUR INCLUS, VOITURES DE TOURISME, VÉHICULES POUR LE TRANSPORT DE MARCHANDISES ET VÉHICULES À USAGES SPÉCIAUX, N.D.A.</v>
      </c>
      <c r="C11043">
        <v>12357996</v>
      </c>
      <c r="D11043">
        <v>312</v>
      </c>
    </row>
    <row r="11044" spans="1:4" x14ac:dyDescent="0.25">
      <c r="A11044" t="str">
        <f>T("   870899")</f>
        <v xml:space="preserve">   870899</v>
      </c>
      <c r="B11044" t="str">
        <f>T("   PARTIES ET ACCESSOIRES, POUR TRACTEURS, VÉHICULES POUR LE TRANSPORT DE &gt;= 10 PERSONNES, CHAUFFEUR INCLUS, VOITURES DE TOURISME, VÉHICULES POUR LE TRANSPORT DE MARCHANDISES ET VÉHICULES À USAGES SPÉCIAUX, N.D.A.")</f>
        <v xml:space="preserve">   PARTIES ET ACCESSOIRES, POUR TRACTEURS, VÉHICULES POUR LE TRANSPORT DE &gt;= 10 PERSONNES, CHAUFFEUR INCLUS, VOITURES DE TOURISME, VÉHICULES POUR LE TRANSPORT DE MARCHANDISES ET VÉHICULES À USAGES SPÉCIAUX, N.D.A.</v>
      </c>
      <c r="C11044">
        <v>9883260</v>
      </c>
      <c r="D11044">
        <v>356</v>
      </c>
    </row>
    <row r="11045" spans="1:4" x14ac:dyDescent="0.25">
      <c r="A11045" t="str">
        <f>T("   870990")</f>
        <v xml:space="preserve">   870990</v>
      </c>
      <c r="B11045" t="str">
        <f>T("   Parties de chariots automobiles non munis d'un dispositif de levage, des types utilisés pour le transport des marchandises sur de courtes distances, y.c. les chariots-tracteurs des types utilisés dans les gares, n.d.a.")</f>
        <v xml:space="preserve">   Parties de chariots automobiles non munis d'un dispositif de levage, des types utilisés pour le transport des marchandises sur de courtes distances, y.c. les chariots-tracteurs des types utilisés dans les gares, n.d.a.</v>
      </c>
      <c r="C11045">
        <v>208347</v>
      </c>
      <c r="D11045">
        <v>20</v>
      </c>
    </row>
    <row r="11046" spans="1:4" x14ac:dyDescent="0.25">
      <c r="A11046" t="str">
        <f>T("   900840")</f>
        <v xml:space="preserve">   900840</v>
      </c>
      <c r="B11046" t="str">
        <f>T("   Appareils photographiques d'agrandissement ou de réduction")</f>
        <v xml:space="preserve">   Appareils photographiques d'agrandissement ou de réduction</v>
      </c>
      <c r="C11046">
        <v>278502</v>
      </c>
      <c r="D11046">
        <v>1.5</v>
      </c>
    </row>
    <row r="11047" spans="1:4" x14ac:dyDescent="0.25">
      <c r="A11047" t="str">
        <f>T("   902290")</f>
        <v xml:space="preserve">   902290</v>
      </c>
      <c r="B11047" t="s">
        <v>499</v>
      </c>
      <c r="C11047">
        <v>131192</v>
      </c>
      <c r="D11047">
        <v>3</v>
      </c>
    </row>
    <row r="11048" spans="1:4" x14ac:dyDescent="0.25">
      <c r="A11048" t="str">
        <f>T("   902830")</f>
        <v xml:space="preserve">   902830</v>
      </c>
      <c r="B11048" t="str">
        <f>T("   Compteurs d'électricité, y.c. les compteurs pour leur étalonnage")</f>
        <v xml:space="preserve">   Compteurs d'électricité, y.c. les compteurs pour leur étalonnage</v>
      </c>
      <c r="C11048">
        <v>119883250</v>
      </c>
      <c r="D11048">
        <v>4000</v>
      </c>
    </row>
    <row r="11049" spans="1:4" x14ac:dyDescent="0.25">
      <c r="A11049" t="str">
        <f>T("   903039")</f>
        <v xml:space="preserve">   903039</v>
      </c>
      <c r="B11049" t="str">
        <f>T("   Instruments et appareils pour la mesure ou le contrôle de la tension, de l'intensité, de la résistance ou de la puissance, sans dispositif enregistreur (à l'excl. des multimètres ainsi que des oscilloscopes et oscillographes cathodiques)")</f>
        <v xml:space="preserve">   Instruments et appareils pour la mesure ou le contrôle de la tension, de l'intensité, de la résistance ou de la puissance, sans dispositif enregistreur (à l'excl. des multimètres ainsi que des oscilloscopes et oscillographes cathodiques)</v>
      </c>
      <c r="C11049">
        <v>11589618</v>
      </c>
      <c r="D11049">
        <v>11</v>
      </c>
    </row>
    <row r="11050" spans="1:4" x14ac:dyDescent="0.25">
      <c r="A11050" t="str">
        <f>T("   903290")</f>
        <v xml:space="preserve">   903290</v>
      </c>
      <c r="B11050" t="str">
        <f>T("   Parties et accessoires des instruments et appareils pour la régulation ou le contrôle automatiques, n.d.a.")</f>
        <v xml:space="preserve">   Parties et accessoires des instruments et appareils pour la régulation ou le contrôle automatiques, n.d.a.</v>
      </c>
      <c r="C11050">
        <v>3700152</v>
      </c>
      <c r="D11050">
        <v>312</v>
      </c>
    </row>
    <row r="11051" spans="1:4" x14ac:dyDescent="0.25">
      <c r="A11051" t="str">
        <f>T("   940350")</f>
        <v xml:space="preserve">   940350</v>
      </c>
      <c r="B11051" t="str">
        <f>T("   Meubles pour chambres à coucher, en bois (sauf sièges)")</f>
        <v xml:space="preserve">   Meubles pour chambres à coucher, en bois (sauf sièges)</v>
      </c>
      <c r="C11051">
        <v>2867880</v>
      </c>
      <c r="D11051">
        <v>2050</v>
      </c>
    </row>
    <row r="11052" spans="1:4" x14ac:dyDescent="0.25">
      <c r="A11052" t="str">
        <f>T("   940360")</f>
        <v xml:space="preserve">   940360</v>
      </c>
      <c r="B11052" t="str">
        <f>T("   Meubles en bois (autres que pour bureaux, cuisines ou chambres à coucher et autres que sièges)")</f>
        <v xml:space="preserve">   Meubles en bois (autres que pour bureaux, cuisines ou chambres à coucher et autres que sièges)</v>
      </c>
      <c r="C11052">
        <v>5000000</v>
      </c>
      <c r="D11052">
        <v>6000</v>
      </c>
    </row>
    <row r="11053" spans="1:4" x14ac:dyDescent="0.25">
      <c r="A11053" t="str">
        <f>T("   950299")</f>
        <v xml:space="preserve">   950299</v>
      </c>
      <c r="B11053" t="str">
        <f>T("   Parties et accessoires pour poupées représentant uniquement l'être humain, n.d.a.")</f>
        <v xml:space="preserve">   Parties et accessoires pour poupées représentant uniquement l'être humain, n.d.a.</v>
      </c>
      <c r="C11053">
        <v>398824</v>
      </c>
      <c r="D11053">
        <v>218</v>
      </c>
    </row>
    <row r="11054" spans="1:4" x14ac:dyDescent="0.25">
      <c r="A11054" t="str">
        <f>T("   950390")</f>
        <v xml:space="preserve">   950390</v>
      </c>
      <c r="B11054" t="str">
        <f>T("   Jouets, n.d.a.")</f>
        <v xml:space="preserve">   Jouets, n.d.a.</v>
      </c>
      <c r="C11054">
        <v>44788</v>
      </c>
      <c r="D11054">
        <v>56</v>
      </c>
    </row>
    <row r="11055" spans="1:4" s="1" customFormat="1" x14ac:dyDescent="0.25">
      <c r="A11055" s="1" t="str">
        <f>T("   ZZ_Total_Produit_SH6")</f>
        <v xml:space="preserve">   ZZ_Total_Produit_SH6</v>
      </c>
      <c r="B11055" s="1" t="str">
        <f>T("   ZZ_Total_Produit_SH6")</f>
        <v xml:space="preserve">   ZZ_Total_Produit_SH6</v>
      </c>
      <c r="C11055" s="1">
        <v>1092045041425.65</v>
      </c>
      <c r="D11055" s="1">
        <v>3508022211.6300001</v>
      </c>
    </row>
    <row r="11057" spans="1:1" x14ac:dyDescent="0.25">
      <c r="A11057" t="s">
        <v>513</v>
      </c>
    </row>
    <row r="11058" spans="1:1" x14ac:dyDescent="0.25">
      <c r="A11058" t="s">
        <v>514</v>
      </c>
    </row>
    <row r="11059" spans="1:1" x14ac:dyDescent="0.25">
      <c r="A11059" t="s">
        <v>515</v>
      </c>
    </row>
    <row r="11060" spans="1:1" x14ac:dyDescent="0.25">
      <c r="A11060" t="s">
        <v>516</v>
      </c>
    </row>
  </sheetData>
  <pageMargins left="0.7" right="0.7" top="0.75" bottom="0.75" header="0.3" footer="0.3"/>
</worksheet>
</file>